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4515" activeTab="0"/>
  </bookViews>
  <sheets>
    <sheet name="tarifa 07 04 08 " sheetId="1" r:id="rId1"/>
  </sheets>
  <definedNames>
    <definedName name="_xlnm.Print_Area" localSheetId="0">'tarifa 07 04 08 '!$B$5:$P$93</definedName>
  </definedNames>
  <calcPr fullCalcOnLoad="1"/>
</workbook>
</file>

<file path=xl/sharedStrings.xml><?xml version="1.0" encoding="utf-8"?>
<sst xmlns="http://schemas.openxmlformats.org/spreadsheetml/2006/main" count="285" uniqueCount="138">
  <si>
    <t>PRECIO</t>
  </si>
  <si>
    <t>Resol. Nº</t>
  </si>
  <si>
    <t>CATEGORIAS</t>
  </si>
  <si>
    <t>ESCALA MENSUAL</t>
  </si>
  <si>
    <t>BASICO</t>
  </si>
  <si>
    <t>FINAL</t>
  </si>
  <si>
    <t xml:space="preserve"> 01</t>
  </si>
  <si>
    <t>RESIDENCIAL</t>
  </si>
  <si>
    <t>Cargo Fijo</t>
  </si>
  <si>
    <t>GRAVAMENES</t>
  </si>
  <si>
    <t>Familiar</t>
  </si>
  <si>
    <t xml:space="preserve">Primeros 50 Kwh              </t>
  </si>
  <si>
    <t xml:space="preserve"> (hasta 20 Kw)</t>
  </si>
  <si>
    <t>Excedente</t>
  </si>
  <si>
    <t xml:space="preserve"> 10,74%-Ley Provincial-3052/85</t>
  </si>
  <si>
    <t>Cgo.fijo c/decho.a 200 Kwh</t>
  </si>
  <si>
    <t>Especial</t>
  </si>
  <si>
    <t xml:space="preserve">Excedente 200 Kwh         </t>
  </si>
  <si>
    <t>Consorcio</t>
  </si>
  <si>
    <t>Primeros 50 Kwh</t>
  </si>
  <si>
    <t xml:space="preserve">Excedente                         </t>
  </si>
  <si>
    <t>Con I.V.A. 27 %</t>
  </si>
  <si>
    <t>Ley 23871</t>
  </si>
  <si>
    <t>01</t>
  </si>
  <si>
    <t>Prepago</t>
  </si>
  <si>
    <t>Todo el consumo</t>
  </si>
  <si>
    <t>SERVICIO</t>
  </si>
  <si>
    <t>Todo el Consumo</t>
  </si>
  <si>
    <t>Part. y Ofic.</t>
  </si>
  <si>
    <t>COMERCIAL</t>
  </si>
  <si>
    <t>&lt;50kw-Par.y of.</t>
  </si>
  <si>
    <t>Baja Tensión</t>
  </si>
  <si>
    <t>Res.&gt;20Kw y</t>
  </si>
  <si>
    <t>&lt; 50Kw.</t>
  </si>
  <si>
    <t xml:space="preserve"> 2B</t>
  </si>
  <si>
    <t>INDUSTRIALES</t>
  </si>
  <si>
    <t>Menor 50 Kw</t>
  </si>
  <si>
    <t xml:space="preserve"> 04</t>
  </si>
  <si>
    <t xml:space="preserve">Cargo Fijo                </t>
  </si>
  <si>
    <t xml:space="preserve">Todo el Consumo  </t>
  </si>
  <si>
    <t xml:space="preserve">Cargo Fijo            </t>
  </si>
  <si>
    <t xml:space="preserve">Todo el Consumo      </t>
  </si>
  <si>
    <t>SERV.PUBLICO</t>
  </si>
  <si>
    <t>SANITARIO</t>
  </si>
  <si>
    <t xml:space="preserve">Cargo Fijo              </t>
  </si>
  <si>
    <t>POTENCIAS</t>
  </si>
  <si>
    <t>C/Fijo x/c/Kw o Fracc.C. S.</t>
  </si>
  <si>
    <t>Part.y Oficiales</t>
  </si>
  <si>
    <t>Pros.100Kwhx/c/Kw o frac. C. S.</t>
  </si>
  <si>
    <t xml:space="preserve"> 50 Kw o más</t>
  </si>
  <si>
    <t>Sig.100Kwhx/c/Kw o frac. C. S.</t>
  </si>
  <si>
    <t>Sig.200Kwhx/c/Kw o frac. C. S.</t>
  </si>
  <si>
    <t>Media tensión</t>
  </si>
  <si>
    <t>Media tension</t>
  </si>
  <si>
    <t>PUBLICO</t>
  </si>
  <si>
    <t>Baja Tension</t>
  </si>
  <si>
    <t>Media Tension</t>
  </si>
  <si>
    <t>RIEGO</t>
  </si>
  <si>
    <t>AGRICOLA</t>
  </si>
  <si>
    <t xml:space="preserve">GRANDES </t>
  </si>
  <si>
    <t>Cargo fijo pros.2000KW</t>
  </si>
  <si>
    <t>PART. Y OFIC.</t>
  </si>
  <si>
    <t>Cargo fijo pros.8000KW</t>
  </si>
  <si>
    <t>1000 KW o Mas</t>
  </si>
  <si>
    <t>Cargo Fijo excdte. 10000KW</t>
  </si>
  <si>
    <t>En Media Tension</t>
  </si>
  <si>
    <t>Pros.350 Kwh/Kw c.s.</t>
  </si>
  <si>
    <t>Excedente de 350 Kwh/kw c.s.</t>
  </si>
  <si>
    <t>Bonificación del 40 % sobre valores</t>
  </si>
  <si>
    <t>del cuadro tarifario a Usuarios Ofi -</t>
  </si>
  <si>
    <t>ciales, Municipales y Provinciales.</t>
  </si>
  <si>
    <t>Según Resol. N° 3825/96</t>
  </si>
  <si>
    <t>Bonificación del 30 % sobre valores</t>
  </si>
  <si>
    <t>del cuadro tarifario a Usuarios Pe -</t>
  </si>
  <si>
    <t>queños Industriales (2B23)</t>
  </si>
  <si>
    <t>Cuota Unica mensual</t>
  </si>
  <si>
    <t xml:space="preserve"> 21,00%-IVA- Tar:0111-0112-0113-0115</t>
  </si>
  <si>
    <t>0442-0452-0462-0472</t>
  </si>
  <si>
    <t>Tarifa Interes Social</t>
  </si>
  <si>
    <t>50 y 55</t>
  </si>
  <si>
    <t>60 y 65</t>
  </si>
  <si>
    <t>CODIGO</t>
  </si>
  <si>
    <t>TARIFARIO</t>
  </si>
  <si>
    <t xml:space="preserve"> 0,60%-Ley 23681-ESPSE-Sta.Cruz</t>
  </si>
  <si>
    <t>SERVICIOS ENERGETICOS DEL CHACO</t>
  </si>
  <si>
    <t>EMPRESA DEL ESTADO PROVINCIAL</t>
  </si>
  <si>
    <t>ELECTR. RURAL</t>
  </si>
  <si>
    <t>0441-0451-0461</t>
  </si>
  <si>
    <t>GDES. POTENCIAS</t>
  </si>
  <si>
    <t>SERVICIO PUBLICO</t>
  </si>
  <si>
    <t xml:space="preserve">Primeros 1000 Kwh        </t>
  </si>
  <si>
    <t xml:space="preserve">Siguientes 1000 Kwh    </t>
  </si>
  <si>
    <t>2A</t>
  </si>
  <si>
    <t>SANITARIO &lt;50 KW</t>
  </si>
  <si>
    <t>ENT.SIN FIN DE LUCRO</t>
  </si>
  <si>
    <t>Rep.Ofic.y part. &lt;50KW</t>
  </si>
  <si>
    <t>AUTOR.- ENT.S.F.LUCRO</t>
  </si>
  <si>
    <t>Electrificación rural (502105) y Riego</t>
  </si>
  <si>
    <t>Según Resolución N° 5305/99.</t>
  </si>
  <si>
    <t xml:space="preserve"> 27.00%-IVA Para resto de los Usuarios</t>
  </si>
  <si>
    <t>TOTAL</t>
  </si>
  <si>
    <t>CARGOS</t>
  </si>
  <si>
    <r>
      <t>NACION.</t>
    </r>
    <r>
      <rPr>
        <sz val="8"/>
        <rFont val="Arial"/>
        <family val="2"/>
      </rPr>
      <t>(5,5 %</t>
    </r>
    <r>
      <rPr>
        <b/>
        <sz val="8"/>
        <rFont val="Arial"/>
        <family val="2"/>
      </rPr>
      <t>)</t>
    </r>
  </si>
  <si>
    <t>Todos los industriales (2B, 50,55,60,65)</t>
  </si>
  <si>
    <r>
      <t>NACION.</t>
    </r>
    <r>
      <rPr>
        <sz val="8"/>
        <rFont val="Arial"/>
        <family val="2"/>
      </rPr>
      <t>(4,67 %</t>
    </r>
    <r>
      <rPr>
        <b/>
        <sz val="8"/>
        <rFont val="Arial"/>
        <family val="2"/>
      </rPr>
      <t>)</t>
    </r>
  </si>
  <si>
    <t>Unidad</t>
  </si>
  <si>
    <t>$-mes</t>
  </si>
  <si>
    <t>$/kW-mes</t>
  </si>
  <si>
    <t>$/kWh</t>
  </si>
  <si>
    <t xml:space="preserve">CARGOS </t>
  </si>
  <si>
    <t>Resol.7515/06</t>
  </si>
  <si>
    <t xml:space="preserve">Tarifas a aplicar a facturas </t>
  </si>
  <si>
    <t>5021/05</t>
  </si>
  <si>
    <t>502/2-3-4/07</t>
  </si>
  <si>
    <t xml:space="preserve">                           501/2-3-4/07 </t>
  </si>
  <si>
    <t xml:space="preserve">Agrícola (501106) están exentos de la </t>
  </si>
  <si>
    <t>tasa del 10,74-Decreto Nº1581/93</t>
  </si>
  <si>
    <t>Ministerio de Infraestructura, Obras, Serv.Públicos y Medio Ambiente.</t>
  </si>
  <si>
    <t>Tarifa Social</t>
  </si>
  <si>
    <t>Siguientes 100 Kwh</t>
  </si>
  <si>
    <t>Siguientes 50 KWh</t>
  </si>
  <si>
    <t>501/2-3-4/07</t>
  </si>
  <si>
    <t>que se emitan a partir:</t>
  </si>
  <si>
    <t>0443-0453-0463-0473</t>
  </si>
  <si>
    <t>Con limitador de corriente</t>
  </si>
  <si>
    <t>Con medidor comunitario</t>
  </si>
  <si>
    <t xml:space="preserve">Siguientes 100 Kwh         </t>
  </si>
  <si>
    <t xml:space="preserve">Primeros 250 Kwh       </t>
  </si>
  <si>
    <t>COOPERATIVAS</t>
  </si>
  <si>
    <t>DISTRIBUIDORES</t>
  </si>
  <si>
    <t>Potencia en Punta</t>
  </si>
  <si>
    <t>Potencia Fuera de Punta</t>
  </si>
  <si>
    <t>Energia Pico</t>
  </si>
  <si>
    <t>Energia Valle</t>
  </si>
  <si>
    <t>Energia Resto</t>
  </si>
  <si>
    <t>Fuera de la Provincia</t>
  </si>
  <si>
    <t>502115-503115</t>
  </si>
  <si>
    <t>Tarifa 07 04 08</t>
  </si>
</sst>
</file>

<file path=xl/styles.xml><?xml version="1.0" encoding="utf-8"?>
<styleSheet xmlns="http://schemas.openxmlformats.org/spreadsheetml/2006/main">
  <numFmts count="4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"/>
    <numFmt numFmtId="189" formatCode="0.0000"/>
    <numFmt numFmtId="190" formatCode="0.0000000"/>
    <numFmt numFmtId="191" formatCode="0.00000000"/>
    <numFmt numFmtId="192" formatCode="0.000000"/>
    <numFmt numFmtId="193" formatCode="0.00000"/>
    <numFmt numFmtId="194" formatCode="0.0"/>
    <numFmt numFmtId="195" formatCode="_-* #,##0_-;\-* #,##0_-;_-* &quot;-&quot;??_-;_-@_-"/>
    <numFmt numFmtId="196" formatCode="#,##0.0000"/>
    <numFmt numFmtId="197" formatCode="_-* #,##0.0000_-;\-* #,##0.0000_-;_-* &quot;-&quot;??_-;_-@_-"/>
    <numFmt numFmtId="198" formatCode="0.00000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9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 quotePrefix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89" fontId="2" fillId="0" borderId="15" xfId="0" applyNumberFormat="1" applyFont="1" applyBorder="1" applyAlignment="1">
      <alignment horizontal="center"/>
    </xf>
    <xf numFmtId="189" fontId="2" fillId="0" borderId="31" xfId="0" applyNumberFormat="1" applyFont="1" applyBorder="1" applyAlignment="1">
      <alignment horizontal="center"/>
    </xf>
    <xf numFmtId="189" fontId="2" fillId="0" borderId="21" xfId="0" applyNumberFormat="1" applyFont="1" applyBorder="1" applyAlignment="1">
      <alignment horizontal="center"/>
    </xf>
    <xf numFmtId="189" fontId="2" fillId="0" borderId="32" xfId="0" applyNumberFormat="1" applyFont="1" applyBorder="1" applyAlignment="1">
      <alignment horizontal="center"/>
    </xf>
    <xf numFmtId="189" fontId="2" fillId="0" borderId="22" xfId="0" applyNumberFormat="1" applyFont="1" applyBorder="1" applyAlignment="1">
      <alignment horizontal="center"/>
    </xf>
    <xf numFmtId="189" fontId="2" fillId="0" borderId="33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89" fontId="2" fillId="0" borderId="34" xfId="0" applyNumberFormat="1" applyFont="1" applyBorder="1" applyAlignment="1">
      <alignment horizontal="center"/>
    </xf>
    <xf numFmtId="189" fontId="2" fillId="0" borderId="20" xfId="0" applyNumberFormat="1" applyFont="1" applyBorder="1" applyAlignment="1">
      <alignment horizontal="center"/>
    </xf>
    <xf numFmtId="189" fontId="2" fillId="0" borderId="35" xfId="0" applyNumberFormat="1" applyFont="1" applyBorder="1" applyAlignment="1">
      <alignment horizontal="center"/>
    </xf>
    <xf numFmtId="189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2" fillId="0" borderId="3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Continuous"/>
    </xf>
    <xf numFmtId="0" fontId="2" fillId="0" borderId="22" xfId="0" applyFont="1" applyBorder="1" applyAlignment="1">
      <alignment horizontal="center"/>
    </xf>
    <xf numFmtId="198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14" fontId="1" fillId="0" borderId="0" xfId="0" applyNumberFormat="1" applyFont="1" applyAlignment="1" quotePrefix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93"/>
  <sheetViews>
    <sheetView tabSelected="1" workbookViewId="0" topLeftCell="A1">
      <selection activeCell="B5" sqref="B5:P93"/>
    </sheetView>
  </sheetViews>
  <sheetFormatPr defaultColWidth="11.421875" defaultRowHeight="12.75"/>
  <cols>
    <col min="3" max="3" width="18.421875" style="0" customWidth="1"/>
    <col min="4" max="4" width="24.140625" style="0" bestFit="1" customWidth="1"/>
    <col min="5" max="5" width="7.7109375" style="0" customWidth="1"/>
    <col min="7" max="8" width="13.00390625" style="0" customWidth="1"/>
    <col min="11" max="11" width="2.00390625" style="0" customWidth="1"/>
    <col min="12" max="12" width="2.140625" style="0" customWidth="1"/>
    <col min="15" max="15" width="5.140625" style="0" customWidth="1"/>
    <col min="16" max="16" width="0.9921875" style="0" customWidth="1"/>
    <col min="18" max="18" width="13.8515625" style="0" customWidth="1"/>
  </cols>
  <sheetData>
    <row r="5" ht="12.75">
      <c r="C5" s="58" t="s">
        <v>84</v>
      </c>
    </row>
    <row r="6" ht="12.75">
      <c r="C6" s="58" t="s">
        <v>85</v>
      </c>
    </row>
    <row r="7" ht="12.75">
      <c r="C7" s="2" t="s">
        <v>117</v>
      </c>
    </row>
    <row r="8" ht="13.5" thickBot="1">
      <c r="C8" s="1"/>
    </row>
    <row r="9" spans="2:13" ht="13.5" thickTop="1">
      <c r="B9" s="29" t="s">
        <v>81</v>
      </c>
      <c r="C9" s="24"/>
      <c r="D9" s="24"/>
      <c r="E9" s="24"/>
      <c r="F9" s="29" t="s">
        <v>0</v>
      </c>
      <c r="G9" s="30" t="s">
        <v>101</v>
      </c>
      <c r="H9" s="30" t="s">
        <v>109</v>
      </c>
      <c r="I9" s="29" t="s">
        <v>100</v>
      </c>
      <c r="J9" s="30" t="s">
        <v>0</v>
      </c>
      <c r="M9" s="1" t="s">
        <v>1</v>
      </c>
    </row>
    <row r="10" spans="2:10" ht="12.75">
      <c r="B10" s="41" t="s">
        <v>82</v>
      </c>
      <c r="C10" s="41" t="s">
        <v>2</v>
      </c>
      <c r="D10" s="41" t="s">
        <v>3</v>
      </c>
      <c r="E10" s="41" t="s">
        <v>105</v>
      </c>
      <c r="F10" s="41" t="s">
        <v>4</v>
      </c>
      <c r="G10" s="43" t="s">
        <v>102</v>
      </c>
      <c r="H10" s="43" t="s">
        <v>104</v>
      </c>
      <c r="I10" s="41" t="s">
        <v>4</v>
      </c>
      <c r="J10" s="43" t="s">
        <v>5</v>
      </c>
    </row>
    <row r="11" spans="2:19" ht="13.5" thickBot="1">
      <c r="B11" s="42"/>
      <c r="C11" s="42"/>
      <c r="D11" s="42"/>
      <c r="E11" s="42"/>
      <c r="F11" s="44"/>
      <c r="G11" s="44"/>
      <c r="H11" s="63" t="s">
        <v>110</v>
      </c>
      <c r="I11" s="44"/>
      <c r="J11" s="45"/>
      <c r="L11" s="2"/>
      <c r="M11" t="s">
        <v>111</v>
      </c>
      <c r="S11" s="57"/>
    </row>
    <row r="12" spans="2:18" ht="13.5" thickTop="1">
      <c r="B12" s="18"/>
      <c r="C12" s="25" t="s">
        <v>7</v>
      </c>
      <c r="D12" s="23" t="s">
        <v>8</v>
      </c>
      <c r="E12" s="60" t="s">
        <v>106</v>
      </c>
      <c r="F12" s="46">
        <f>5.3362342*1.42525</f>
        <v>7.605467793549999</v>
      </c>
      <c r="G12" s="46">
        <f aca="true" t="shared" si="0" ref="G12:G26">+F12*0.055</f>
        <v>0.41830072864525</v>
      </c>
      <c r="H12" s="46">
        <f>+F12*0.0467</f>
        <v>0.3551753459587849</v>
      </c>
      <c r="I12" s="46">
        <f>+F12+G12+H12</f>
        <v>8.378943868154034</v>
      </c>
      <c r="J12" s="47">
        <f aca="true" t="shared" si="1" ref="J12:J21">+I12*1.3234</f>
        <v>11.088694315115047</v>
      </c>
      <c r="K12" s="56"/>
      <c r="L12" s="2"/>
      <c r="M12" s="68" t="s">
        <v>122</v>
      </c>
      <c r="N12" s="69"/>
      <c r="R12" s="67"/>
    </row>
    <row r="13" spans="2:18" ht="12.75">
      <c r="B13" s="28" t="s">
        <v>23</v>
      </c>
      <c r="C13" s="16" t="s">
        <v>10</v>
      </c>
      <c r="D13" s="32" t="s">
        <v>11</v>
      </c>
      <c r="E13" s="62" t="s">
        <v>108</v>
      </c>
      <c r="F13" s="48">
        <f>0.0835958*1.075</f>
        <v>0.089865485</v>
      </c>
      <c r="G13" s="48">
        <f t="shared" si="0"/>
        <v>0.004942601675</v>
      </c>
      <c r="H13" s="48">
        <f aca="true" t="shared" si="2" ref="H13:H84">+F13*0.0467</f>
        <v>0.0041967181494999995</v>
      </c>
      <c r="I13" s="48">
        <f aca="true" t="shared" si="3" ref="I13:I84">+F13+G13+H13</f>
        <v>0.0990048048245</v>
      </c>
      <c r="J13" s="49">
        <f t="shared" si="1"/>
        <v>0.1310229587047433</v>
      </c>
      <c r="K13" s="56"/>
      <c r="L13" s="2"/>
      <c r="M13" s="65">
        <v>39545</v>
      </c>
      <c r="N13" s="65"/>
      <c r="R13" s="67"/>
    </row>
    <row r="14" spans="2:18" ht="13.5" thickBot="1">
      <c r="B14" s="19"/>
      <c r="C14" s="16" t="s">
        <v>12</v>
      </c>
      <c r="D14" s="32" t="s">
        <v>126</v>
      </c>
      <c r="E14" s="62" t="s">
        <v>108</v>
      </c>
      <c r="F14" s="48">
        <f>0.1065*1.075</f>
        <v>0.11448749999999999</v>
      </c>
      <c r="G14" s="48">
        <f t="shared" si="0"/>
        <v>0.0062968124999999995</v>
      </c>
      <c r="H14" s="48">
        <f t="shared" si="2"/>
        <v>0.0053465662499999995</v>
      </c>
      <c r="I14" s="48">
        <f t="shared" si="3"/>
        <v>0.12613087874999998</v>
      </c>
      <c r="J14" s="49">
        <f t="shared" si="1"/>
        <v>0.16692160493774996</v>
      </c>
      <c r="K14" s="56"/>
      <c r="L14" s="2"/>
      <c r="R14" s="67"/>
    </row>
    <row r="15" spans="2:18" ht="14.25" thickBot="1" thickTop="1">
      <c r="B15" s="19"/>
      <c r="C15" s="16"/>
      <c r="D15" s="32" t="s">
        <v>126</v>
      </c>
      <c r="E15" s="62" t="s">
        <v>108</v>
      </c>
      <c r="F15" s="48">
        <f>0.1617*1.0751</f>
        <v>0.17384367</v>
      </c>
      <c r="G15" s="48">
        <f t="shared" si="0"/>
        <v>0.00956140185</v>
      </c>
      <c r="H15" s="48">
        <f t="shared" si="2"/>
        <v>0.008118499389</v>
      </c>
      <c r="I15" s="48">
        <f t="shared" si="3"/>
        <v>0.19152357123900002</v>
      </c>
      <c r="J15" s="49">
        <f t="shared" si="1"/>
        <v>0.2534622941776926</v>
      </c>
      <c r="K15" s="56"/>
      <c r="L15" s="2"/>
      <c r="M15" s="4"/>
      <c r="N15" s="5" t="s">
        <v>9</v>
      </c>
      <c r="O15" s="5"/>
      <c r="P15" s="11"/>
      <c r="R15" s="67"/>
    </row>
    <row r="16" spans="2:18" ht="13.5" thickTop="1">
      <c r="B16" s="19"/>
      <c r="C16" s="16"/>
      <c r="D16" s="33" t="s">
        <v>13</v>
      </c>
      <c r="E16" s="62" t="s">
        <v>108</v>
      </c>
      <c r="F16" s="50">
        <f>0.1616328*1.1615</f>
        <v>0.1877364972</v>
      </c>
      <c r="G16" s="50">
        <f t="shared" si="0"/>
        <v>0.010325507345999999</v>
      </c>
      <c r="H16" s="48">
        <f t="shared" si="2"/>
        <v>0.008767294419239999</v>
      </c>
      <c r="I16" s="50">
        <f t="shared" si="3"/>
        <v>0.20682929896524</v>
      </c>
      <c r="J16" s="51">
        <f t="shared" si="1"/>
        <v>0.2737178942505986</v>
      </c>
      <c r="K16" s="56"/>
      <c r="L16" s="2"/>
      <c r="M16" s="6"/>
      <c r="N16" s="7"/>
      <c r="O16" s="7"/>
      <c r="P16" s="11"/>
      <c r="R16" s="67"/>
    </row>
    <row r="17" spans="2:18" ht="12.75">
      <c r="B17" s="21" t="s">
        <v>6</v>
      </c>
      <c r="C17" s="35" t="s">
        <v>7</v>
      </c>
      <c r="D17" s="34" t="s">
        <v>15</v>
      </c>
      <c r="E17" s="61" t="s">
        <v>106</v>
      </c>
      <c r="F17" s="52">
        <f>+F12*0.25</f>
        <v>1.9013669483874998</v>
      </c>
      <c r="G17" s="52">
        <f t="shared" si="0"/>
        <v>0.1045751821613125</v>
      </c>
      <c r="H17" s="52">
        <f t="shared" si="2"/>
        <v>0.08879383648969623</v>
      </c>
      <c r="I17" s="52">
        <f t="shared" si="3"/>
        <v>2.0947359670385084</v>
      </c>
      <c r="J17" s="53">
        <f t="shared" si="1"/>
        <v>2.772173578778762</v>
      </c>
      <c r="K17" s="56"/>
      <c r="L17" s="2"/>
      <c r="M17" s="8" t="s">
        <v>83</v>
      </c>
      <c r="N17" s="3"/>
      <c r="O17" s="3"/>
      <c r="P17" s="12"/>
      <c r="R17" s="67"/>
    </row>
    <row r="18" spans="2:18" ht="12.75">
      <c r="B18" s="36"/>
      <c r="C18" s="37" t="s">
        <v>16</v>
      </c>
      <c r="D18" s="33" t="s">
        <v>17</v>
      </c>
      <c r="E18" s="62" t="s">
        <v>108</v>
      </c>
      <c r="F18" s="50">
        <f>+F16*0.25</f>
        <v>0.0469341243</v>
      </c>
      <c r="G18" s="50">
        <f t="shared" si="0"/>
        <v>0.0025813768364999997</v>
      </c>
      <c r="H18" s="50">
        <f t="shared" si="2"/>
        <v>0.0021918236048099997</v>
      </c>
      <c r="I18" s="50">
        <f t="shared" si="3"/>
        <v>0.05170732474131</v>
      </c>
      <c r="J18" s="51">
        <f t="shared" si="1"/>
        <v>0.06842947356264965</v>
      </c>
      <c r="K18" s="56"/>
      <c r="L18" s="2"/>
      <c r="M18" s="8" t="s">
        <v>14</v>
      </c>
      <c r="N18" s="3"/>
      <c r="O18" s="3"/>
      <c r="P18" s="12"/>
      <c r="R18" s="67"/>
    </row>
    <row r="19" spans="2:18" ht="12.75">
      <c r="B19" s="19"/>
      <c r="C19" s="16" t="s">
        <v>7</v>
      </c>
      <c r="D19" s="34" t="s">
        <v>8</v>
      </c>
      <c r="E19" s="61" t="s">
        <v>106</v>
      </c>
      <c r="F19" s="52">
        <f>+F12</f>
        <v>7.605467793549999</v>
      </c>
      <c r="G19" s="52">
        <f t="shared" si="0"/>
        <v>0.41830072864525</v>
      </c>
      <c r="H19" s="48">
        <f t="shared" si="2"/>
        <v>0.3551753459587849</v>
      </c>
      <c r="I19" s="52">
        <f t="shared" si="3"/>
        <v>8.378943868154034</v>
      </c>
      <c r="J19" s="53">
        <f t="shared" si="1"/>
        <v>11.088694315115047</v>
      </c>
      <c r="K19" s="56"/>
      <c r="L19" s="2"/>
      <c r="M19" s="8" t="s">
        <v>76</v>
      </c>
      <c r="N19" s="3"/>
      <c r="O19" s="3"/>
      <c r="P19" s="14"/>
      <c r="R19" s="67"/>
    </row>
    <row r="20" spans="2:18" ht="12.75">
      <c r="B20" s="28" t="s">
        <v>23</v>
      </c>
      <c r="C20" s="16" t="s">
        <v>18</v>
      </c>
      <c r="D20" s="32" t="s">
        <v>19</v>
      </c>
      <c r="E20" s="62" t="s">
        <v>108</v>
      </c>
      <c r="F20" s="48">
        <f>+F13</f>
        <v>0.089865485</v>
      </c>
      <c r="G20" s="48">
        <f t="shared" si="0"/>
        <v>0.004942601675</v>
      </c>
      <c r="H20" s="48">
        <f t="shared" si="2"/>
        <v>0.0041967181494999995</v>
      </c>
      <c r="I20" s="48">
        <f t="shared" si="3"/>
        <v>0.0990048048245</v>
      </c>
      <c r="J20" s="49">
        <f t="shared" si="1"/>
        <v>0.1310229587047433</v>
      </c>
      <c r="K20" s="56"/>
      <c r="L20" s="2"/>
      <c r="M20" s="8"/>
      <c r="N20" s="3" t="s">
        <v>87</v>
      </c>
      <c r="O20" s="3"/>
      <c r="P20" s="12"/>
      <c r="R20" s="67"/>
    </row>
    <row r="21" spans="2:18" ht="12.75">
      <c r="B21" s="19"/>
      <c r="C21" s="16"/>
      <c r="D21" s="33" t="s">
        <v>20</v>
      </c>
      <c r="E21" s="62" t="s">
        <v>108</v>
      </c>
      <c r="F21" s="48">
        <f>+F14</f>
        <v>0.11448749999999999</v>
      </c>
      <c r="G21" s="50">
        <f t="shared" si="0"/>
        <v>0.0062968124999999995</v>
      </c>
      <c r="H21" s="48">
        <f t="shared" si="2"/>
        <v>0.0053465662499999995</v>
      </c>
      <c r="I21" s="50">
        <f t="shared" si="3"/>
        <v>0.12613087874999998</v>
      </c>
      <c r="J21" s="51">
        <f t="shared" si="1"/>
        <v>0.16692160493774996</v>
      </c>
      <c r="K21" s="56"/>
      <c r="L21" s="2"/>
      <c r="M21" s="8"/>
      <c r="N21" s="3" t="s">
        <v>77</v>
      </c>
      <c r="O21" s="3"/>
      <c r="P21" s="12"/>
      <c r="R21" s="67"/>
    </row>
    <row r="22" spans="2:18" ht="12.75">
      <c r="B22" s="21"/>
      <c r="C22" s="35" t="s">
        <v>7</v>
      </c>
      <c r="D22" s="32" t="s">
        <v>8</v>
      </c>
      <c r="E22" s="61" t="s">
        <v>106</v>
      </c>
      <c r="F22" s="52">
        <f>+F12</f>
        <v>7.605467793549999</v>
      </c>
      <c r="G22" s="52">
        <f t="shared" si="0"/>
        <v>0.41830072864525</v>
      </c>
      <c r="H22" s="52">
        <f t="shared" si="2"/>
        <v>0.3551753459587849</v>
      </c>
      <c r="I22" s="52">
        <f t="shared" si="3"/>
        <v>8.378943868154034</v>
      </c>
      <c r="J22" s="53">
        <f>+I22*1.3834</f>
        <v>11.59143094720429</v>
      </c>
      <c r="K22" s="56"/>
      <c r="L22" s="2"/>
      <c r="M22" s="8"/>
      <c r="N22" s="3" t="s">
        <v>123</v>
      </c>
      <c r="O22" s="3"/>
      <c r="P22" s="12"/>
      <c r="R22" s="67"/>
    </row>
    <row r="23" spans="2:18" ht="12.75">
      <c r="B23" s="28" t="s">
        <v>23</v>
      </c>
      <c r="C23" s="16" t="s">
        <v>21</v>
      </c>
      <c r="D23" s="32" t="s">
        <v>11</v>
      </c>
      <c r="E23" s="62" t="s">
        <v>108</v>
      </c>
      <c r="F23" s="48">
        <f>+F13</f>
        <v>0.089865485</v>
      </c>
      <c r="G23" s="48">
        <f t="shared" si="0"/>
        <v>0.004942601675</v>
      </c>
      <c r="H23" s="48">
        <f t="shared" si="2"/>
        <v>0.0041967181494999995</v>
      </c>
      <c r="I23" s="48">
        <f t="shared" si="3"/>
        <v>0.0990048048245</v>
      </c>
      <c r="J23" s="49">
        <f>+I23*1.3834</f>
        <v>0.1369632469942133</v>
      </c>
      <c r="K23" s="56"/>
      <c r="L23" s="2"/>
      <c r="M23" s="8" t="s">
        <v>114</v>
      </c>
      <c r="N23" s="3" t="s">
        <v>121</v>
      </c>
      <c r="O23" s="3"/>
      <c r="P23" s="12"/>
      <c r="R23" s="67"/>
    </row>
    <row r="24" spans="2:18" ht="12.75">
      <c r="B24" s="20"/>
      <c r="C24" s="16" t="s">
        <v>22</v>
      </c>
      <c r="D24" s="32" t="s">
        <v>126</v>
      </c>
      <c r="E24" s="62" t="s">
        <v>108</v>
      </c>
      <c r="F24" s="48">
        <f>+F14</f>
        <v>0.11448749999999999</v>
      </c>
      <c r="G24" s="48">
        <f t="shared" si="0"/>
        <v>0.0062968124999999995</v>
      </c>
      <c r="H24" s="48">
        <f t="shared" si="2"/>
        <v>0.0053465662499999995</v>
      </c>
      <c r="I24" s="48">
        <f t="shared" si="3"/>
        <v>0.12613087874999998</v>
      </c>
      <c r="J24" s="49">
        <f>+I24*1.3834</f>
        <v>0.17448945766274998</v>
      </c>
      <c r="K24" s="56"/>
      <c r="L24" s="2"/>
      <c r="M24" s="15"/>
      <c r="N24" s="3" t="s">
        <v>113</v>
      </c>
      <c r="O24" s="3"/>
      <c r="P24" s="12"/>
      <c r="R24" s="67"/>
    </row>
    <row r="25" spans="2:18" ht="12.75">
      <c r="B25" s="20"/>
      <c r="C25" s="16"/>
      <c r="D25" s="32" t="s">
        <v>126</v>
      </c>
      <c r="E25" s="62" t="s">
        <v>108</v>
      </c>
      <c r="F25" s="48">
        <f>+F15</f>
        <v>0.17384367</v>
      </c>
      <c r="G25" s="48">
        <f t="shared" si="0"/>
        <v>0.00956140185</v>
      </c>
      <c r="H25" s="48">
        <f t="shared" si="2"/>
        <v>0.008118499389</v>
      </c>
      <c r="I25" s="48">
        <f t="shared" si="3"/>
        <v>0.19152357123900002</v>
      </c>
      <c r="J25" s="49">
        <f>+I25*1.3834</f>
        <v>0.26495370845203264</v>
      </c>
      <c r="K25" s="56"/>
      <c r="L25" s="2"/>
      <c r="M25" s="8"/>
      <c r="N25" s="3" t="s">
        <v>112</v>
      </c>
      <c r="O25" s="3"/>
      <c r="P25" s="12"/>
      <c r="R25" s="67"/>
    </row>
    <row r="26" spans="2:18" ht="13.5" thickBot="1">
      <c r="B26" s="38"/>
      <c r="C26" s="37"/>
      <c r="D26" s="33" t="s">
        <v>13</v>
      </c>
      <c r="E26" s="66" t="s">
        <v>108</v>
      </c>
      <c r="F26" s="50">
        <f>+F16</f>
        <v>0.1877364972</v>
      </c>
      <c r="G26" s="50">
        <f t="shared" si="0"/>
        <v>0.010325507345999999</v>
      </c>
      <c r="H26" s="50">
        <f>+F26*0.0467</f>
        <v>0.008767294419239999</v>
      </c>
      <c r="I26" s="50">
        <f>+F26+G26+H26</f>
        <v>0.20682929896524</v>
      </c>
      <c r="J26" s="51">
        <f>+I26*1.3834</f>
        <v>0.286127652188513</v>
      </c>
      <c r="K26" s="56"/>
      <c r="L26" s="2"/>
      <c r="M26" s="9" t="s">
        <v>99</v>
      </c>
      <c r="N26" s="10"/>
      <c r="O26" s="10"/>
      <c r="P26" s="13"/>
      <c r="R26" s="67"/>
    </row>
    <row r="27" spans="2:18" ht="13.5" thickTop="1">
      <c r="B27" s="19" t="s">
        <v>6</v>
      </c>
      <c r="C27" s="16" t="s">
        <v>7</v>
      </c>
      <c r="D27" s="32" t="s">
        <v>75</v>
      </c>
      <c r="E27" s="62" t="s">
        <v>106</v>
      </c>
      <c r="F27" s="48">
        <v>10.28812</v>
      </c>
      <c r="G27" s="48">
        <f>+F27*0.055</f>
        <v>0.5658466</v>
      </c>
      <c r="H27" s="48">
        <f t="shared" si="2"/>
        <v>0.48045520399999997</v>
      </c>
      <c r="I27" s="48">
        <f t="shared" si="3"/>
        <v>11.334421804</v>
      </c>
      <c r="J27" s="49">
        <f>+I27*1.3234</f>
        <v>14.999973815413599</v>
      </c>
      <c r="K27" s="56"/>
      <c r="L27" s="2"/>
      <c r="M27" s="2"/>
      <c r="N27" s="2"/>
      <c r="O27" s="2"/>
      <c r="R27" s="67"/>
    </row>
    <row r="28" spans="2:18" ht="12.75">
      <c r="B28" s="19"/>
      <c r="C28" s="16" t="s">
        <v>78</v>
      </c>
      <c r="D28" s="32" t="s">
        <v>124</v>
      </c>
      <c r="E28" s="32"/>
      <c r="F28" s="48"/>
      <c r="G28" s="48"/>
      <c r="H28" s="48">
        <f t="shared" si="2"/>
        <v>0</v>
      </c>
      <c r="I28" s="48"/>
      <c r="J28" s="49"/>
      <c r="K28" s="56"/>
      <c r="L28" s="2"/>
      <c r="M28" s="2" t="s">
        <v>103</v>
      </c>
      <c r="N28" s="2"/>
      <c r="R28" s="67"/>
    </row>
    <row r="29" spans="2:18" ht="12.75">
      <c r="B29" s="21" t="s">
        <v>6</v>
      </c>
      <c r="C29" s="35" t="s">
        <v>7</v>
      </c>
      <c r="D29" s="34" t="s">
        <v>75</v>
      </c>
      <c r="E29" s="61" t="s">
        <v>106</v>
      </c>
      <c r="F29" s="52">
        <v>7.5563</v>
      </c>
      <c r="G29" s="52">
        <v>0</v>
      </c>
      <c r="H29" s="52">
        <v>0</v>
      </c>
      <c r="I29" s="52">
        <f>+F29+G29+H29</f>
        <v>7.5563</v>
      </c>
      <c r="J29" s="53">
        <f>+I29*1.3234</f>
        <v>10.00000742</v>
      </c>
      <c r="K29" s="56"/>
      <c r="L29" s="2"/>
      <c r="M29" s="2" t="s">
        <v>97</v>
      </c>
      <c r="N29" s="2"/>
      <c r="R29" s="67"/>
    </row>
    <row r="30" spans="2:18" ht="12.75">
      <c r="B30" s="19"/>
      <c r="C30" s="16" t="s">
        <v>78</v>
      </c>
      <c r="D30" s="32" t="s">
        <v>125</v>
      </c>
      <c r="E30" s="32"/>
      <c r="F30" s="48"/>
      <c r="G30" s="50"/>
      <c r="H30" s="48">
        <f>+F30*0.0467</f>
        <v>0</v>
      </c>
      <c r="I30" s="50"/>
      <c r="J30" s="49"/>
      <c r="K30" s="56"/>
      <c r="L30" s="2"/>
      <c r="M30" s="2" t="s">
        <v>115</v>
      </c>
      <c r="N30" s="2"/>
      <c r="R30" s="67"/>
    </row>
    <row r="31" spans="2:18" ht="12.75">
      <c r="B31" s="21"/>
      <c r="C31" s="35" t="s">
        <v>7</v>
      </c>
      <c r="D31" s="34" t="s">
        <v>8</v>
      </c>
      <c r="E31" s="61" t="s">
        <v>106</v>
      </c>
      <c r="F31" s="52">
        <f>+F12/2</f>
        <v>3.8027338967749995</v>
      </c>
      <c r="G31" s="52">
        <f>+F31*0.055</f>
        <v>0.209150364322625</v>
      </c>
      <c r="H31" s="52">
        <f>+F31*0.0467</f>
        <v>0.17758767297939246</v>
      </c>
      <c r="I31" s="52">
        <f>+F31+G31+H31</f>
        <v>4.189471934077017</v>
      </c>
      <c r="J31" s="53">
        <f aca="true" t="shared" si="4" ref="J31:J36">+I31*1.3234</f>
        <v>5.544347157557524</v>
      </c>
      <c r="K31" s="56"/>
      <c r="L31" s="2"/>
      <c r="M31" s="2" t="s">
        <v>116</v>
      </c>
      <c r="R31" s="67"/>
    </row>
    <row r="32" spans="2:18" ht="12.75">
      <c r="B32" s="28" t="s">
        <v>23</v>
      </c>
      <c r="C32" s="16" t="s">
        <v>118</v>
      </c>
      <c r="D32" s="32" t="s">
        <v>19</v>
      </c>
      <c r="E32" s="62" t="s">
        <v>108</v>
      </c>
      <c r="F32" s="48">
        <f>+F13/2</f>
        <v>0.0449327425</v>
      </c>
      <c r="G32" s="48">
        <f>+F32*0.055</f>
        <v>0.0024713008375</v>
      </c>
      <c r="H32" s="48">
        <f>+F32*0.0467</f>
        <v>0.0020983590747499998</v>
      </c>
      <c r="I32" s="48">
        <f>+F32+G32+H32</f>
        <v>0.04950240241225</v>
      </c>
      <c r="J32" s="49">
        <f t="shared" si="4"/>
        <v>0.06551147935237164</v>
      </c>
      <c r="K32" s="56"/>
      <c r="L32" s="2"/>
      <c r="M32" s="2"/>
      <c r="N32" s="2"/>
      <c r="R32" s="67"/>
    </row>
    <row r="33" spans="2:18" ht="12.75">
      <c r="B33" s="20"/>
      <c r="C33" s="16"/>
      <c r="D33" s="32" t="s">
        <v>119</v>
      </c>
      <c r="E33" s="62" t="s">
        <v>108</v>
      </c>
      <c r="F33" s="48">
        <f>+(F14/2)*0.999</f>
        <v>0.05718650625</v>
      </c>
      <c r="G33" s="48">
        <f>+F33*0.055</f>
        <v>0.00314525784375</v>
      </c>
      <c r="H33" s="48">
        <f>+F33*0.0467</f>
        <v>0.002670609841875</v>
      </c>
      <c r="I33" s="48">
        <f>+F33+G33+H33</f>
        <v>0.063002373935625</v>
      </c>
      <c r="J33" s="49">
        <f t="shared" si="4"/>
        <v>0.08337734166640612</v>
      </c>
      <c r="K33" s="56"/>
      <c r="L33" s="2"/>
      <c r="R33" s="67"/>
    </row>
    <row r="34" spans="2:18" ht="12.75">
      <c r="B34" s="38"/>
      <c r="C34" s="37"/>
      <c r="D34" s="33" t="s">
        <v>120</v>
      </c>
      <c r="E34" s="62" t="s">
        <v>108</v>
      </c>
      <c r="F34" s="50">
        <f>+F15</f>
        <v>0.17384367</v>
      </c>
      <c r="G34" s="50">
        <f>+F34*0.055</f>
        <v>0.00956140185</v>
      </c>
      <c r="H34" s="50">
        <f>+F34*0.0467</f>
        <v>0.008118499389</v>
      </c>
      <c r="I34" s="50">
        <f>+F34+G34+H34</f>
        <v>0.19152357123900002</v>
      </c>
      <c r="J34" s="51">
        <f t="shared" si="4"/>
        <v>0.2534622941776926</v>
      </c>
      <c r="K34" s="56"/>
      <c r="L34" s="2"/>
      <c r="R34" s="67"/>
    </row>
    <row r="35" spans="2:18" ht="12.75">
      <c r="B35" s="21" t="s">
        <v>23</v>
      </c>
      <c r="C35" s="35" t="s">
        <v>7</v>
      </c>
      <c r="D35" s="34" t="s">
        <v>8</v>
      </c>
      <c r="E35" s="61" t="s">
        <v>106</v>
      </c>
      <c r="F35" s="52">
        <f>+F12</f>
        <v>7.605467793549999</v>
      </c>
      <c r="G35" s="52">
        <f aca="true" t="shared" si="5" ref="G35:G87">+F35*0.055</f>
        <v>0.41830072864525</v>
      </c>
      <c r="H35" s="52">
        <f t="shared" si="2"/>
        <v>0.3551753459587849</v>
      </c>
      <c r="I35" s="52">
        <f t="shared" si="3"/>
        <v>8.378943868154034</v>
      </c>
      <c r="J35" s="49">
        <f t="shared" si="4"/>
        <v>11.088694315115047</v>
      </c>
      <c r="K35" s="56"/>
      <c r="L35" s="2"/>
      <c r="M35" s="2" t="s">
        <v>68</v>
      </c>
      <c r="N35" s="2"/>
      <c r="R35" s="67"/>
    </row>
    <row r="36" spans="2:18" ht="12.75">
      <c r="B36" s="36"/>
      <c r="C36" s="37" t="s">
        <v>24</v>
      </c>
      <c r="D36" s="33" t="s">
        <v>25</v>
      </c>
      <c r="E36" s="62" t="s">
        <v>108</v>
      </c>
      <c r="F36" s="50">
        <f>0.1269972*1.075</f>
        <v>0.13652199</v>
      </c>
      <c r="G36" s="50">
        <f t="shared" si="5"/>
        <v>0.0075087094500000005</v>
      </c>
      <c r="H36" s="50">
        <f t="shared" si="2"/>
        <v>0.006375576933</v>
      </c>
      <c r="I36" s="50">
        <f t="shared" si="3"/>
        <v>0.15040627638300003</v>
      </c>
      <c r="J36" s="51">
        <f t="shared" si="4"/>
        <v>0.19904766616526223</v>
      </c>
      <c r="K36" s="56"/>
      <c r="L36" s="2"/>
      <c r="M36" s="2" t="s">
        <v>69</v>
      </c>
      <c r="N36" s="2"/>
      <c r="R36" s="67"/>
    </row>
    <row r="37" spans="2:18" ht="12.75">
      <c r="B37" s="19"/>
      <c r="C37" s="16" t="s">
        <v>29</v>
      </c>
      <c r="D37" s="34" t="s">
        <v>8</v>
      </c>
      <c r="E37" s="61" t="s">
        <v>106</v>
      </c>
      <c r="F37" s="52">
        <f>8.96*1.50721</f>
        <v>13.5046016</v>
      </c>
      <c r="G37" s="52">
        <f t="shared" si="5"/>
        <v>0.7427530880000001</v>
      </c>
      <c r="H37" s="48">
        <f t="shared" si="2"/>
        <v>0.63066489472</v>
      </c>
      <c r="I37" s="52">
        <f t="shared" si="3"/>
        <v>14.878019582720002</v>
      </c>
      <c r="J37" s="53">
        <f aca="true" t="shared" si="6" ref="J37:J42">+I37*1.3834</f>
        <v>20.58225229073485</v>
      </c>
      <c r="K37" s="56"/>
      <c r="L37" s="2"/>
      <c r="M37" s="2" t="s">
        <v>70</v>
      </c>
      <c r="N37" s="2"/>
      <c r="R37" s="67"/>
    </row>
    <row r="38" spans="2:18" ht="12.75">
      <c r="B38" s="28" t="s">
        <v>92</v>
      </c>
      <c r="C38" s="16" t="s">
        <v>30</v>
      </c>
      <c r="D38" s="32" t="s">
        <v>127</v>
      </c>
      <c r="E38" s="62" t="s">
        <v>108</v>
      </c>
      <c r="F38" s="48">
        <f>0.1638*1.075</f>
        <v>0.176085</v>
      </c>
      <c r="G38" s="48">
        <f t="shared" si="5"/>
        <v>0.009684675</v>
      </c>
      <c r="H38" s="48">
        <f t="shared" si="2"/>
        <v>0.008223169499999999</v>
      </c>
      <c r="I38" s="48">
        <f t="shared" si="3"/>
        <v>0.19399284449999998</v>
      </c>
      <c r="J38" s="49">
        <f t="shared" si="6"/>
        <v>0.2683697010813</v>
      </c>
      <c r="K38" s="56"/>
      <c r="L38" s="2"/>
      <c r="M38" s="2" t="s">
        <v>71</v>
      </c>
      <c r="N38" s="2"/>
      <c r="R38" s="67"/>
    </row>
    <row r="39" spans="2:18" ht="12.75">
      <c r="B39" s="19"/>
      <c r="C39" s="16" t="s">
        <v>32</v>
      </c>
      <c r="D39" s="32" t="s">
        <v>13</v>
      </c>
      <c r="E39" s="62" t="s">
        <v>108</v>
      </c>
      <c r="F39" s="48">
        <f>0.1638777*1.161</f>
        <v>0.19026200969999998</v>
      </c>
      <c r="G39" s="48">
        <f t="shared" si="5"/>
        <v>0.0104644105335</v>
      </c>
      <c r="H39" s="48">
        <f t="shared" si="2"/>
        <v>0.00888523585299</v>
      </c>
      <c r="I39" s="48">
        <f t="shared" si="3"/>
        <v>0.20961165608649</v>
      </c>
      <c r="J39" s="49">
        <f t="shared" si="6"/>
        <v>0.28997676503005027</v>
      </c>
      <c r="K39" s="56"/>
      <c r="L39" s="2"/>
      <c r="R39" s="67"/>
    </row>
    <row r="40" spans="2:18" ht="12.75">
      <c r="B40" s="19"/>
      <c r="C40" s="16" t="s">
        <v>33</v>
      </c>
      <c r="D40" s="33"/>
      <c r="E40" s="62"/>
      <c r="F40" s="50"/>
      <c r="G40" s="50"/>
      <c r="H40" s="48"/>
      <c r="I40" s="50"/>
      <c r="J40" s="51"/>
      <c r="K40" s="56"/>
      <c r="L40" s="2"/>
      <c r="M40" s="2" t="s">
        <v>72</v>
      </c>
      <c r="N40" s="2"/>
      <c r="R40" s="67"/>
    </row>
    <row r="41" spans="2:18" ht="12.75">
      <c r="B41" s="21" t="s">
        <v>92</v>
      </c>
      <c r="C41" s="35" t="s">
        <v>29</v>
      </c>
      <c r="D41" s="34" t="s">
        <v>8</v>
      </c>
      <c r="E41" s="61" t="s">
        <v>106</v>
      </c>
      <c r="F41" s="52">
        <f>+F37</f>
        <v>13.5046016</v>
      </c>
      <c r="G41" s="52">
        <f t="shared" si="5"/>
        <v>0.7427530880000001</v>
      </c>
      <c r="H41" s="52">
        <f t="shared" si="2"/>
        <v>0.63066489472</v>
      </c>
      <c r="I41" s="52">
        <f t="shared" si="3"/>
        <v>14.878019582720002</v>
      </c>
      <c r="J41" s="53">
        <f t="shared" si="6"/>
        <v>20.58225229073485</v>
      </c>
      <c r="K41" s="56"/>
      <c r="L41" s="2"/>
      <c r="M41" s="2" t="s">
        <v>73</v>
      </c>
      <c r="N41" s="2"/>
      <c r="R41" s="67"/>
    </row>
    <row r="42" spans="2:18" ht="12.75">
      <c r="B42" s="36"/>
      <c r="C42" s="37" t="s">
        <v>24</v>
      </c>
      <c r="D42" s="33" t="s">
        <v>25</v>
      </c>
      <c r="E42" s="62" t="s">
        <v>108</v>
      </c>
      <c r="F42" s="50">
        <f>+F38</f>
        <v>0.176085</v>
      </c>
      <c r="G42" s="50">
        <f t="shared" si="5"/>
        <v>0.009684675</v>
      </c>
      <c r="H42" s="50">
        <f t="shared" si="2"/>
        <v>0.008223169499999999</v>
      </c>
      <c r="I42" s="50">
        <f t="shared" si="3"/>
        <v>0.19399284449999998</v>
      </c>
      <c r="J42" s="51">
        <f t="shared" si="6"/>
        <v>0.2683697010813</v>
      </c>
      <c r="K42" s="56"/>
      <c r="L42" s="2"/>
      <c r="M42" s="2" t="s">
        <v>74</v>
      </c>
      <c r="N42" s="2"/>
      <c r="R42" s="67"/>
    </row>
    <row r="43" spans="2:18" ht="12.75">
      <c r="B43" s="22"/>
      <c r="C43" s="16" t="s">
        <v>35</v>
      </c>
      <c r="D43" s="34" t="s">
        <v>8</v>
      </c>
      <c r="E43" s="61" t="s">
        <v>106</v>
      </c>
      <c r="F43" s="52">
        <f>+F37</f>
        <v>13.5046016</v>
      </c>
      <c r="G43" s="52">
        <f t="shared" si="5"/>
        <v>0.7427530880000001</v>
      </c>
      <c r="H43" s="48">
        <f t="shared" si="2"/>
        <v>0.63066489472</v>
      </c>
      <c r="I43" s="52">
        <f t="shared" si="3"/>
        <v>14.878019582720002</v>
      </c>
      <c r="J43" s="53">
        <f>+I43*1.276</f>
        <v>18.98435298755072</v>
      </c>
      <c r="K43" s="56"/>
      <c r="L43" s="2"/>
      <c r="M43" s="2" t="s">
        <v>98</v>
      </c>
      <c r="N43" s="2"/>
      <c r="R43" s="67"/>
    </row>
    <row r="44" spans="2:18" ht="12.75">
      <c r="B44" s="19" t="s">
        <v>34</v>
      </c>
      <c r="C44" s="16" t="s">
        <v>36</v>
      </c>
      <c r="D44" s="32" t="s">
        <v>90</v>
      </c>
      <c r="E44" s="62" t="s">
        <v>108</v>
      </c>
      <c r="F44" s="48">
        <f>0.164482754*1.075</f>
        <v>0.17681896055000001</v>
      </c>
      <c r="G44" s="48">
        <f t="shared" si="5"/>
        <v>0.00972504283025</v>
      </c>
      <c r="H44" s="48">
        <f t="shared" si="2"/>
        <v>0.008257445457685</v>
      </c>
      <c r="I44" s="48">
        <f t="shared" si="3"/>
        <v>0.19480144883793502</v>
      </c>
      <c r="J44" s="49">
        <f>+I44*1.276</f>
        <v>0.24856664871720507</v>
      </c>
      <c r="K44" s="56"/>
      <c r="L44" s="2"/>
      <c r="M44" s="2"/>
      <c r="N44" s="2"/>
      <c r="O44" s="2"/>
      <c r="R44" s="67"/>
    </row>
    <row r="45" spans="2:18" ht="12.75">
      <c r="B45" s="20"/>
      <c r="C45" s="16" t="s">
        <v>28</v>
      </c>
      <c r="D45" s="32" t="s">
        <v>91</v>
      </c>
      <c r="E45" s="62" t="s">
        <v>108</v>
      </c>
      <c r="F45" s="48">
        <f>0.164482754*1.075</f>
        <v>0.17681896055000001</v>
      </c>
      <c r="G45" s="48">
        <f t="shared" si="5"/>
        <v>0.00972504283025</v>
      </c>
      <c r="H45" s="48">
        <f t="shared" si="2"/>
        <v>0.008257445457685</v>
      </c>
      <c r="I45" s="48">
        <f t="shared" si="3"/>
        <v>0.19480144883793502</v>
      </c>
      <c r="J45" s="49">
        <f>+I45*1.276</f>
        <v>0.24856664871720507</v>
      </c>
      <c r="K45" s="56"/>
      <c r="L45" s="2"/>
      <c r="M45" s="2"/>
      <c r="N45" s="2"/>
      <c r="R45" s="67"/>
    </row>
    <row r="46" spans="2:18" ht="12.75">
      <c r="B46" s="20"/>
      <c r="C46" s="16"/>
      <c r="D46" s="33" t="s">
        <v>13</v>
      </c>
      <c r="E46" s="62" t="s">
        <v>108</v>
      </c>
      <c r="F46" s="50">
        <f>0.181392196*1.075</f>
        <v>0.1949966107</v>
      </c>
      <c r="G46" s="50">
        <f t="shared" si="5"/>
        <v>0.0107248135885</v>
      </c>
      <c r="H46" s="48">
        <f t="shared" si="2"/>
        <v>0.009106341719689999</v>
      </c>
      <c r="I46" s="50">
        <f t="shared" si="3"/>
        <v>0.21482776600818998</v>
      </c>
      <c r="J46" s="51">
        <f>+I46*1.276</f>
        <v>0.2741202294264504</v>
      </c>
      <c r="K46" s="56"/>
      <c r="L46" s="2"/>
      <c r="M46" s="2"/>
      <c r="N46" s="2"/>
      <c r="R46" s="67"/>
    </row>
    <row r="47" spans="2:18" ht="12.75">
      <c r="B47" s="21" t="s">
        <v>37</v>
      </c>
      <c r="C47" s="35" t="s">
        <v>96</v>
      </c>
      <c r="D47" s="34" t="s">
        <v>38</v>
      </c>
      <c r="E47" s="61" t="s">
        <v>106</v>
      </c>
      <c r="F47" s="52">
        <v>5.106399199999999</v>
      </c>
      <c r="G47" s="52">
        <f t="shared" si="5"/>
        <v>0.28085195599999996</v>
      </c>
      <c r="H47" s="52">
        <f t="shared" si="2"/>
        <v>0.23846884263999996</v>
      </c>
      <c r="I47" s="52">
        <f t="shared" si="3"/>
        <v>5.625719998639999</v>
      </c>
      <c r="J47" s="53">
        <f>+I47*1.3234</f>
        <v>7.445077846200174</v>
      </c>
      <c r="K47" s="56"/>
      <c r="L47" s="2"/>
      <c r="M47" s="2"/>
      <c r="N47" s="2"/>
      <c r="R47" s="67"/>
    </row>
    <row r="48" spans="2:18" ht="12.75">
      <c r="B48" s="36"/>
      <c r="C48" s="37" t="s">
        <v>95</v>
      </c>
      <c r="D48" s="33" t="s">
        <v>39</v>
      </c>
      <c r="E48" s="62" t="s">
        <v>108</v>
      </c>
      <c r="F48" s="50">
        <v>0.13939759999999998</v>
      </c>
      <c r="G48" s="50">
        <f t="shared" si="5"/>
        <v>0.007666867999999999</v>
      </c>
      <c r="H48" s="50">
        <f t="shared" si="2"/>
        <v>0.006509867919999999</v>
      </c>
      <c r="I48" s="50">
        <f t="shared" si="3"/>
        <v>0.15357433591999997</v>
      </c>
      <c r="J48" s="51">
        <f>+I48*1.3234</f>
        <v>0.20324027615652795</v>
      </c>
      <c r="K48" s="56"/>
      <c r="L48" s="2"/>
      <c r="M48" s="2"/>
      <c r="N48" s="2"/>
      <c r="R48" s="67"/>
    </row>
    <row r="49" spans="2:18" ht="12.75">
      <c r="B49" s="19" t="s">
        <v>37</v>
      </c>
      <c r="C49" s="16" t="s">
        <v>94</v>
      </c>
      <c r="D49" s="34" t="s">
        <v>40</v>
      </c>
      <c r="E49" s="61" t="s">
        <v>106</v>
      </c>
      <c r="F49" s="52">
        <v>5.106399199999999</v>
      </c>
      <c r="G49" s="52">
        <f t="shared" si="5"/>
        <v>0.28085195599999996</v>
      </c>
      <c r="H49" s="48">
        <f t="shared" si="2"/>
        <v>0.23846884263999996</v>
      </c>
      <c r="I49" s="52">
        <f t="shared" si="3"/>
        <v>5.625719998639999</v>
      </c>
      <c r="J49" s="53">
        <f>+I49*1.3234</f>
        <v>7.445077846200174</v>
      </c>
      <c r="K49" s="56"/>
      <c r="L49" s="2"/>
      <c r="M49" s="2"/>
      <c r="N49" s="2"/>
      <c r="R49" s="67"/>
    </row>
    <row r="50" spans="2:18" ht="12.75">
      <c r="B50" s="19"/>
      <c r="C50" s="16" t="s">
        <v>16</v>
      </c>
      <c r="D50" s="33" t="s">
        <v>41</v>
      </c>
      <c r="E50" s="62" t="s">
        <v>108</v>
      </c>
      <c r="F50" s="50">
        <f>0.0696988*1.062</f>
        <v>0.07402012560000001</v>
      </c>
      <c r="G50" s="50">
        <f t="shared" si="5"/>
        <v>0.004071106908</v>
      </c>
      <c r="H50" s="48">
        <f t="shared" si="2"/>
        <v>0.0034567398655200006</v>
      </c>
      <c r="I50" s="50">
        <f t="shared" si="3"/>
        <v>0.08154797237352002</v>
      </c>
      <c r="J50" s="51">
        <f>+I50*1.3234</f>
        <v>0.10792058663911638</v>
      </c>
      <c r="K50" s="56"/>
      <c r="L50" s="2"/>
      <c r="M50" s="2"/>
      <c r="N50" s="2"/>
      <c r="R50" s="67"/>
    </row>
    <row r="51" spans="2:18" ht="12.75">
      <c r="B51" s="21" t="s">
        <v>37</v>
      </c>
      <c r="C51" s="35" t="s">
        <v>42</v>
      </c>
      <c r="D51" s="34" t="s">
        <v>44</v>
      </c>
      <c r="E51" s="61" t="s">
        <v>106</v>
      </c>
      <c r="F51" s="52">
        <v>5.2243099</v>
      </c>
      <c r="G51" s="52">
        <f t="shared" si="5"/>
        <v>0.28733704449999997</v>
      </c>
      <c r="H51" s="52">
        <f t="shared" si="2"/>
        <v>0.24397527233</v>
      </c>
      <c r="I51" s="52">
        <f t="shared" si="3"/>
        <v>5.75562221683</v>
      </c>
      <c r="J51" s="53">
        <f aca="true" t="shared" si="7" ref="J51:J62">+I51*1.3834</f>
        <v>7.962327774762621</v>
      </c>
      <c r="K51" s="56"/>
      <c r="L51" s="2"/>
      <c r="M51" s="2"/>
      <c r="N51" s="2"/>
      <c r="R51" s="67"/>
    </row>
    <row r="52" spans="2:18" ht="12.75">
      <c r="B52" s="38"/>
      <c r="C52" s="37" t="s">
        <v>93</v>
      </c>
      <c r="D52" s="33" t="s">
        <v>27</v>
      </c>
      <c r="E52" s="62" t="s">
        <v>108</v>
      </c>
      <c r="F52" s="50">
        <v>0.10241019999999999</v>
      </c>
      <c r="G52" s="50">
        <f t="shared" si="5"/>
        <v>0.0056325609999999995</v>
      </c>
      <c r="H52" s="50">
        <f t="shared" si="2"/>
        <v>0.00478255634</v>
      </c>
      <c r="I52" s="50">
        <f t="shared" si="3"/>
        <v>0.11282531733999998</v>
      </c>
      <c r="J52" s="51">
        <f t="shared" si="7"/>
        <v>0.15608254400815597</v>
      </c>
      <c r="K52" s="56"/>
      <c r="L52" s="2"/>
      <c r="M52" s="2"/>
      <c r="N52" s="2"/>
      <c r="R52" s="67"/>
    </row>
    <row r="53" spans="2:18" ht="12.75">
      <c r="B53" s="22"/>
      <c r="C53" s="16" t="s">
        <v>88</v>
      </c>
      <c r="D53" s="34" t="s">
        <v>46</v>
      </c>
      <c r="E53" s="61" t="s">
        <v>107</v>
      </c>
      <c r="F53" s="52">
        <f>11.27583338*1.075</f>
        <v>12.121520883499999</v>
      </c>
      <c r="G53" s="52">
        <f t="shared" si="5"/>
        <v>0.6666836485925</v>
      </c>
      <c r="H53" s="48">
        <f t="shared" si="2"/>
        <v>0.56607502525945</v>
      </c>
      <c r="I53" s="52">
        <f t="shared" si="3"/>
        <v>13.354279557351948</v>
      </c>
      <c r="J53" s="53">
        <f t="shared" si="7"/>
        <v>18.474310339640684</v>
      </c>
      <c r="K53" s="56"/>
      <c r="L53" s="2"/>
      <c r="M53" s="2"/>
      <c r="N53" s="2"/>
      <c r="R53" s="67"/>
    </row>
    <row r="54" spans="2:18" ht="12.75">
      <c r="B54" s="22"/>
      <c r="C54" s="16" t="s">
        <v>47</v>
      </c>
      <c r="D54" s="32" t="s">
        <v>48</v>
      </c>
      <c r="E54" s="62" t="s">
        <v>108</v>
      </c>
      <c r="F54" s="48">
        <f>0.114284*1.075</f>
        <v>0.12285529999999999</v>
      </c>
      <c r="G54" s="48">
        <f t="shared" si="5"/>
        <v>0.006757041499999999</v>
      </c>
      <c r="H54" s="48">
        <f t="shared" si="2"/>
        <v>0.005737342509999999</v>
      </c>
      <c r="I54" s="48">
        <f t="shared" si="3"/>
        <v>0.13534968400999997</v>
      </c>
      <c r="J54" s="49">
        <f t="shared" si="7"/>
        <v>0.18724275285943395</v>
      </c>
      <c r="K54" s="56"/>
      <c r="L54" s="2"/>
      <c r="M54" s="2"/>
      <c r="N54" s="2"/>
      <c r="R54" s="67"/>
    </row>
    <row r="55" spans="2:18" ht="12.75">
      <c r="B55" s="19" t="s">
        <v>79</v>
      </c>
      <c r="C55" s="16" t="s">
        <v>49</v>
      </c>
      <c r="D55" s="32" t="s">
        <v>50</v>
      </c>
      <c r="E55" s="62" t="s">
        <v>108</v>
      </c>
      <c r="F55" s="48">
        <f>0.094732642*1.075</f>
        <v>0.10183759015</v>
      </c>
      <c r="G55" s="48">
        <f t="shared" si="5"/>
        <v>0.00560106745825</v>
      </c>
      <c r="H55" s="48">
        <f t="shared" si="2"/>
        <v>0.004755815460005</v>
      </c>
      <c r="I55" s="48">
        <f t="shared" si="3"/>
        <v>0.112194473068255</v>
      </c>
      <c r="J55" s="49">
        <f t="shared" si="7"/>
        <v>0.15520983404262398</v>
      </c>
      <c r="K55" s="56"/>
      <c r="L55" s="2"/>
      <c r="M55" s="2"/>
      <c r="N55" s="2"/>
      <c r="R55" s="67"/>
    </row>
    <row r="56" spans="2:18" ht="12.75">
      <c r="B56" s="20"/>
      <c r="C56" s="16" t="s">
        <v>31</v>
      </c>
      <c r="D56" s="32" t="s">
        <v>51</v>
      </c>
      <c r="E56" s="62" t="s">
        <v>108</v>
      </c>
      <c r="F56" s="48">
        <f>0.079217176*1.075</f>
        <v>0.08515846419999999</v>
      </c>
      <c r="G56" s="48">
        <f t="shared" si="5"/>
        <v>0.004683715531</v>
      </c>
      <c r="H56" s="48">
        <f t="shared" si="2"/>
        <v>0.003976900278139999</v>
      </c>
      <c r="I56" s="48">
        <f t="shared" si="3"/>
        <v>0.09381908000914</v>
      </c>
      <c r="J56" s="49">
        <f t="shared" si="7"/>
        <v>0.12978931528464427</v>
      </c>
      <c r="K56" s="56"/>
      <c r="L56" s="2"/>
      <c r="M56" s="2"/>
      <c r="N56" s="2"/>
      <c r="R56" s="67"/>
    </row>
    <row r="57" spans="2:18" ht="12.75">
      <c r="B57" s="20"/>
      <c r="C57" s="16"/>
      <c r="D57" s="33" t="s">
        <v>13</v>
      </c>
      <c r="E57" s="62" t="s">
        <v>108</v>
      </c>
      <c r="F57" s="50">
        <f>0.057142326*1.075</f>
        <v>0.06142800045</v>
      </c>
      <c r="G57" s="50">
        <f t="shared" si="5"/>
        <v>0.00337854002475</v>
      </c>
      <c r="H57" s="48">
        <f t="shared" si="2"/>
        <v>0.002868687621015</v>
      </c>
      <c r="I57" s="50">
        <f t="shared" si="3"/>
        <v>0.067675228095765</v>
      </c>
      <c r="J57" s="51">
        <f t="shared" si="7"/>
        <v>0.09362191054768129</v>
      </c>
      <c r="K57" s="56"/>
      <c r="L57" s="2"/>
      <c r="M57" s="2"/>
      <c r="N57" s="2"/>
      <c r="R57" s="67"/>
    </row>
    <row r="58" spans="2:18" ht="12.75">
      <c r="B58" s="39"/>
      <c r="C58" s="35" t="s">
        <v>88</v>
      </c>
      <c r="D58" s="34" t="s">
        <v>46</v>
      </c>
      <c r="E58" s="61" t="s">
        <v>107</v>
      </c>
      <c r="F58" s="52">
        <f>10.37391808*1.075</f>
        <v>11.151961936</v>
      </c>
      <c r="G58" s="52">
        <f t="shared" si="5"/>
        <v>0.61335790648</v>
      </c>
      <c r="H58" s="52">
        <f t="shared" si="2"/>
        <v>0.5207966224112</v>
      </c>
      <c r="I58" s="52">
        <f t="shared" si="3"/>
        <v>12.2861164648912</v>
      </c>
      <c r="J58" s="53">
        <f t="shared" si="7"/>
        <v>16.996613517530484</v>
      </c>
      <c r="K58" s="56"/>
      <c r="L58" s="2"/>
      <c r="M58" s="2"/>
      <c r="N58" s="2"/>
      <c r="R58" s="67"/>
    </row>
    <row r="59" spans="2:18" ht="12.75">
      <c r="B59" s="19"/>
      <c r="C59" s="16" t="s">
        <v>47</v>
      </c>
      <c r="D59" s="32" t="s">
        <v>48</v>
      </c>
      <c r="E59" s="62" t="s">
        <v>108</v>
      </c>
      <c r="F59" s="48">
        <f>0.105202428*1.075</f>
        <v>0.11309261009999999</v>
      </c>
      <c r="G59" s="48">
        <f t="shared" si="5"/>
        <v>0.0062200935555</v>
      </c>
      <c r="H59" s="48">
        <f t="shared" si="2"/>
        <v>0.005281424891669999</v>
      </c>
      <c r="I59" s="48">
        <f t="shared" si="3"/>
        <v>0.12459412854716999</v>
      </c>
      <c r="J59" s="49">
        <f t="shared" si="7"/>
        <v>0.17236351743215494</v>
      </c>
      <c r="K59" s="56"/>
      <c r="L59" s="2"/>
      <c r="M59" s="2"/>
      <c r="N59" s="2"/>
      <c r="R59" s="67"/>
    </row>
    <row r="60" spans="2:18" ht="12.75">
      <c r="B60" s="28" t="s">
        <v>79</v>
      </c>
      <c r="C60" s="16" t="s">
        <v>49</v>
      </c>
      <c r="D60" s="32" t="s">
        <v>50</v>
      </c>
      <c r="E60" s="62" t="s">
        <v>108</v>
      </c>
      <c r="F60" s="48">
        <f>0.087416406*1.075</f>
        <v>0.09397263645</v>
      </c>
      <c r="G60" s="48">
        <f t="shared" si="5"/>
        <v>0.005168495004749999</v>
      </c>
      <c r="H60" s="48">
        <f t="shared" si="2"/>
        <v>0.004388522122214999</v>
      </c>
      <c r="I60" s="48">
        <f t="shared" si="3"/>
        <v>0.10352965357696499</v>
      </c>
      <c r="J60" s="49">
        <f t="shared" si="7"/>
        <v>0.14322292275837337</v>
      </c>
      <c r="K60" s="56"/>
      <c r="L60" s="2"/>
      <c r="M60" s="2"/>
      <c r="N60" s="2"/>
      <c r="R60" s="67"/>
    </row>
    <row r="61" spans="2:18" ht="12.75">
      <c r="B61" s="20"/>
      <c r="C61" s="16" t="s">
        <v>52</v>
      </c>
      <c r="D61" s="32" t="s">
        <v>51</v>
      </c>
      <c r="E61" s="62" t="s">
        <v>108</v>
      </c>
      <c r="F61" s="48">
        <f>0.072910076*1.075</f>
        <v>0.0783783317</v>
      </c>
      <c r="G61" s="48">
        <f t="shared" si="5"/>
        <v>0.0043108082435</v>
      </c>
      <c r="H61" s="48">
        <f t="shared" si="2"/>
        <v>0.0036602680903899997</v>
      </c>
      <c r="I61" s="48">
        <f t="shared" si="3"/>
        <v>0.08634940803388999</v>
      </c>
      <c r="J61" s="49">
        <f t="shared" si="7"/>
        <v>0.11945577107408341</v>
      </c>
      <c r="K61" s="56"/>
      <c r="L61" s="2"/>
      <c r="M61" s="2"/>
      <c r="N61" s="2"/>
      <c r="R61" s="67"/>
    </row>
    <row r="62" spans="2:18" ht="12.75">
      <c r="B62" s="38"/>
      <c r="C62" s="37"/>
      <c r="D62" s="33" t="s">
        <v>13</v>
      </c>
      <c r="E62" s="62" t="s">
        <v>108</v>
      </c>
      <c r="F62" s="50">
        <f>0.05274*1.075</f>
        <v>0.0566955</v>
      </c>
      <c r="G62" s="50">
        <f t="shared" si="5"/>
        <v>0.0031182525000000003</v>
      </c>
      <c r="H62" s="50">
        <f t="shared" si="2"/>
        <v>0.00264767985</v>
      </c>
      <c r="I62" s="50">
        <f t="shared" si="3"/>
        <v>0.062461432350000005</v>
      </c>
      <c r="J62" s="51">
        <f t="shared" si="7"/>
        <v>0.08640914551299</v>
      </c>
      <c r="K62" s="56"/>
      <c r="L62" s="2"/>
      <c r="M62" s="2"/>
      <c r="N62" s="2"/>
      <c r="R62" s="67"/>
    </row>
    <row r="63" spans="2:18" ht="12.75">
      <c r="B63" s="22"/>
      <c r="C63" s="16" t="s">
        <v>86</v>
      </c>
      <c r="D63" s="34" t="s">
        <v>46</v>
      </c>
      <c r="E63" s="61" t="s">
        <v>107</v>
      </c>
      <c r="F63" s="52">
        <f>6.9557*1.075</f>
        <v>7.4773775</v>
      </c>
      <c r="G63" s="52">
        <f t="shared" si="5"/>
        <v>0.4112557625</v>
      </c>
      <c r="H63" s="48">
        <f t="shared" si="2"/>
        <v>0.34919352925</v>
      </c>
      <c r="I63" s="52">
        <f t="shared" si="3"/>
        <v>8.23782679175</v>
      </c>
      <c r="J63" s="53">
        <f>+I63*1.21</f>
        <v>9.967770418017501</v>
      </c>
      <c r="K63" s="56"/>
      <c r="L63" s="2"/>
      <c r="M63" s="2"/>
      <c r="N63" s="2"/>
      <c r="R63" s="67"/>
    </row>
    <row r="64" spans="2:18" ht="12.75">
      <c r="B64" s="19"/>
      <c r="C64" s="16" t="s">
        <v>128</v>
      </c>
      <c r="D64" s="32" t="s">
        <v>48</v>
      </c>
      <c r="E64" s="62" t="s">
        <v>108</v>
      </c>
      <c r="F64" s="48">
        <f>0.093859*1.075</f>
        <v>0.100898425</v>
      </c>
      <c r="G64" s="48">
        <f t="shared" si="5"/>
        <v>0.005549413375</v>
      </c>
      <c r="H64" s="48">
        <f t="shared" si="2"/>
        <v>0.0047119564474999995</v>
      </c>
      <c r="I64" s="48">
        <f t="shared" si="3"/>
        <v>0.1111597948225</v>
      </c>
      <c r="J64" s="49">
        <f>+I64*1.21</f>
        <v>0.134503351735225</v>
      </c>
      <c r="K64" s="56"/>
      <c r="L64" s="2"/>
      <c r="M64" s="2"/>
      <c r="N64" s="2"/>
      <c r="R64" s="67"/>
    </row>
    <row r="65" spans="2:18" ht="12.75">
      <c r="B65" s="19">
        <v>50</v>
      </c>
      <c r="C65" s="16" t="s">
        <v>53</v>
      </c>
      <c r="D65" s="32" t="s">
        <v>50</v>
      </c>
      <c r="E65" s="62" t="s">
        <v>108</v>
      </c>
      <c r="F65" s="48">
        <f>0.07757733*1.075</f>
        <v>0.08339562974999999</v>
      </c>
      <c r="G65" s="48">
        <f t="shared" si="5"/>
        <v>0.00458675963625</v>
      </c>
      <c r="H65" s="48">
        <f t="shared" si="2"/>
        <v>0.0038945759093249994</v>
      </c>
      <c r="I65" s="48">
        <f t="shared" si="3"/>
        <v>0.091876965295575</v>
      </c>
      <c r="J65" s="49">
        <f>+I65*1.21</f>
        <v>0.11117112800764575</v>
      </c>
      <c r="K65" s="56"/>
      <c r="L65" s="2"/>
      <c r="M65" s="2"/>
      <c r="N65" s="2"/>
      <c r="R65" s="67"/>
    </row>
    <row r="66" spans="2:18" ht="12.75">
      <c r="B66" s="20"/>
      <c r="C66" s="17">
        <v>502105</v>
      </c>
      <c r="D66" s="32" t="s">
        <v>51</v>
      </c>
      <c r="E66" s="62" t="s">
        <v>108</v>
      </c>
      <c r="F66" s="48">
        <f>0.06499*1.075</f>
        <v>0.06986425</v>
      </c>
      <c r="G66" s="48">
        <f t="shared" si="5"/>
        <v>0.00384253375</v>
      </c>
      <c r="H66" s="48">
        <f t="shared" si="2"/>
        <v>0.003262660475</v>
      </c>
      <c r="I66" s="48">
        <f t="shared" si="3"/>
        <v>0.076969444225</v>
      </c>
      <c r="J66" s="49">
        <f>+I66*1.21</f>
        <v>0.09313302751225</v>
      </c>
      <c r="K66" s="56"/>
      <c r="L66" s="2"/>
      <c r="M66" s="2"/>
      <c r="N66" s="2"/>
      <c r="R66" s="67"/>
    </row>
    <row r="67" spans="2:18" ht="12.75">
      <c r="B67" s="20"/>
      <c r="C67" s="16"/>
      <c r="D67" s="33" t="s">
        <v>13</v>
      </c>
      <c r="E67" s="62" t="s">
        <v>108</v>
      </c>
      <c r="F67" s="50">
        <f>0.05265*1.075</f>
        <v>0.05659875</v>
      </c>
      <c r="G67" s="50">
        <f t="shared" si="5"/>
        <v>0.00311293125</v>
      </c>
      <c r="H67" s="48">
        <f t="shared" si="2"/>
        <v>0.002643161625</v>
      </c>
      <c r="I67" s="50">
        <f t="shared" si="3"/>
        <v>0.062354842875000004</v>
      </c>
      <c r="J67" s="51">
        <f>+I67*1.21</f>
        <v>0.07544935987875</v>
      </c>
      <c r="K67" s="56"/>
      <c r="L67" s="2"/>
      <c r="M67" s="2"/>
      <c r="N67" s="2"/>
      <c r="R67" s="67"/>
    </row>
    <row r="68" spans="2:18" ht="12.75">
      <c r="B68" s="39"/>
      <c r="C68" s="35" t="s">
        <v>89</v>
      </c>
      <c r="D68" s="34" t="s">
        <v>46</v>
      </c>
      <c r="E68" s="61" t="s">
        <v>107</v>
      </c>
      <c r="F68" s="52">
        <v>4.443099666</v>
      </c>
      <c r="G68" s="52">
        <f t="shared" si="5"/>
        <v>0.24437048163</v>
      </c>
      <c r="H68" s="52">
        <f t="shared" si="2"/>
        <v>0.2074927544022</v>
      </c>
      <c r="I68" s="52">
        <f t="shared" si="3"/>
        <v>4.8949629020322</v>
      </c>
      <c r="J68" s="53">
        <f aca="true" t="shared" si="8" ref="J68:J77">+I68*1.3834</f>
        <v>6.771691678671345</v>
      </c>
      <c r="K68" s="56"/>
      <c r="L68" s="2"/>
      <c r="M68" s="2"/>
      <c r="N68" s="2"/>
      <c r="R68" s="67"/>
    </row>
    <row r="69" spans="2:18" ht="12.75">
      <c r="B69" s="19"/>
      <c r="C69" s="16" t="s">
        <v>43</v>
      </c>
      <c r="D69" s="32" t="s">
        <v>48</v>
      </c>
      <c r="E69" s="62" t="s">
        <v>108</v>
      </c>
      <c r="F69" s="48">
        <v>0.076189768</v>
      </c>
      <c r="G69" s="48">
        <f t="shared" si="5"/>
        <v>0.00419043724</v>
      </c>
      <c r="H69" s="48">
        <f t="shared" si="2"/>
        <v>0.0035580621656</v>
      </c>
      <c r="I69" s="48">
        <f t="shared" si="3"/>
        <v>0.08393826740560001</v>
      </c>
      <c r="J69" s="49">
        <f t="shared" si="8"/>
        <v>0.11612019912890705</v>
      </c>
      <c r="K69" s="56"/>
      <c r="L69" s="2"/>
      <c r="M69" s="2"/>
      <c r="N69" s="2"/>
      <c r="R69" s="67"/>
    </row>
    <row r="70" spans="2:18" ht="12.75">
      <c r="B70" s="19">
        <v>50</v>
      </c>
      <c r="C70" s="16" t="s">
        <v>55</v>
      </c>
      <c r="D70" s="32" t="s">
        <v>50</v>
      </c>
      <c r="E70" s="62" t="s">
        <v>108</v>
      </c>
      <c r="F70" s="48">
        <v>0.06294485799999999</v>
      </c>
      <c r="G70" s="48">
        <f t="shared" si="5"/>
        <v>0.0034619671899999995</v>
      </c>
      <c r="H70" s="48">
        <f t="shared" si="2"/>
        <v>0.0029395248685999994</v>
      </c>
      <c r="I70" s="48">
        <f t="shared" si="3"/>
        <v>0.06934635005859999</v>
      </c>
      <c r="J70" s="49">
        <f t="shared" si="8"/>
        <v>0.09593374067106722</v>
      </c>
      <c r="K70" s="56"/>
      <c r="L70" s="2"/>
      <c r="M70" s="2"/>
      <c r="N70" s="2"/>
      <c r="R70" s="67"/>
    </row>
    <row r="71" spans="2:18" ht="12.75">
      <c r="B71" s="20"/>
      <c r="C71" s="17">
        <v>501304</v>
      </c>
      <c r="D71" s="32" t="s">
        <v>51</v>
      </c>
      <c r="E71" s="62" t="s">
        <v>108</v>
      </c>
      <c r="F71" s="48">
        <v>0.051718219999999995</v>
      </c>
      <c r="G71" s="48">
        <f t="shared" si="5"/>
        <v>0.0028445020999999997</v>
      </c>
      <c r="H71" s="48">
        <f t="shared" si="2"/>
        <v>0.002415240874</v>
      </c>
      <c r="I71" s="48">
        <f t="shared" si="3"/>
        <v>0.056977962974</v>
      </c>
      <c r="J71" s="49">
        <f t="shared" si="8"/>
        <v>0.0788233139782316</v>
      </c>
      <c r="K71" s="56"/>
      <c r="L71" s="2"/>
      <c r="M71" s="2"/>
      <c r="N71" s="2"/>
      <c r="R71" s="67"/>
    </row>
    <row r="72" spans="2:18" ht="12.75">
      <c r="B72" s="38"/>
      <c r="C72" s="40"/>
      <c r="D72" s="33" t="s">
        <v>13</v>
      </c>
      <c r="E72" s="62" t="s">
        <v>108</v>
      </c>
      <c r="F72" s="50">
        <v>0.036959606</v>
      </c>
      <c r="G72" s="50">
        <f t="shared" si="5"/>
        <v>0.00203277833</v>
      </c>
      <c r="H72" s="50">
        <f t="shared" si="2"/>
        <v>0.0017260136002</v>
      </c>
      <c r="I72" s="50">
        <f t="shared" si="3"/>
        <v>0.0407183979302</v>
      </c>
      <c r="J72" s="51">
        <f t="shared" si="8"/>
        <v>0.056329831696638674</v>
      </c>
      <c r="K72" s="56"/>
      <c r="L72" s="2"/>
      <c r="M72" s="2"/>
      <c r="N72" s="2"/>
      <c r="R72" s="67"/>
    </row>
    <row r="73" spans="2:18" ht="12.75">
      <c r="B73" s="22"/>
      <c r="C73" s="16" t="s">
        <v>26</v>
      </c>
      <c r="D73" s="34" t="s">
        <v>46</v>
      </c>
      <c r="E73" s="61" t="s">
        <v>107</v>
      </c>
      <c r="F73" s="52">
        <v>4.08763151</v>
      </c>
      <c r="G73" s="52">
        <f t="shared" si="5"/>
        <v>0.22481973304999997</v>
      </c>
      <c r="H73" s="48">
        <f t="shared" si="2"/>
        <v>0.19089239151699997</v>
      </c>
      <c r="I73" s="52">
        <f t="shared" si="3"/>
        <v>4.503343634567</v>
      </c>
      <c r="J73" s="53">
        <f t="shared" si="8"/>
        <v>6.229925584059988</v>
      </c>
      <c r="K73" s="56"/>
      <c r="L73" s="2"/>
      <c r="M73" s="2"/>
      <c r="N73" s="2"/>
      <c r="R73" s="67"/>
    </row>
    <row r="74" spans="2:18" ht="12.75">
      <c r="B74" s="19"/>
      <c r="C74" s="16" t="s">
        <v>54</v>
      </c>
      <c r="D74" s="32" t="s">
        <v>48</v>
      </c>
      <c r="E74" s="62" t="s">
        <v>108</v>
      </c>
      <c r="F74" s="48">
        <v>0.06975652599999999</v>
      </c>
      <c r="G74" s="48">
        <f t="shared" si="5"/>
        <v>0.0038366089299999994</v>
      </c>
      <c r="H74" s="48">
        <f t="shared" si="2"/>
        <v>0.003257629764199999</v>
      </c>
      <c r="I74" s="48">
        <f t="shared" si="3"/>
        <v>0.07685076469419998</v>
      </c>
      <c r="J74" s="49">
        <f t="shared" si="8"/>
        <v>0.10631534787795624</v>
      </c>
      <c r="K74" s="56"/>
      <c r="L74" s="2"/>
      <c r="M74" s="2"/>
      <c r="N74" s="2"/>
      <c r="R74" s="67"/>
    </row>
    <row r="75" spans="2:18" ht="12.75">
      <c r="B75" s="19">
        <v>50</v>
      </c>
      <c r="C75" s="16" t="s">
        <v>43</v>
      </c>
      <c r="D75" s="32" t="s">
        <v>50</v>
      </c>
      <c r="E75" s="62" t="s">
        <v>108</v>
      </c>
      <c r="F75" s="48">
        <v>0.05777303599999999</v>
      </c>
      <c r="G75" s="48">
        <f t="shared" si="5"/>
        <v>0.0031775169799999996</v>
      </c>
      <c r="H75" s="48">
        <f t="shared" si="2"/>
        <v>0.0026980007811999995</v>
      </c>
      <c r="I75" s="48">
        <f t="shared" si="3"/>
        <v>0.06364855376119999</v>
      </c>
      <c r="J75" s="49">
        <f t="shared" si="8"/>
        <v>0.08805140927324406</v>
      </c>
      <c r="K75" s="56"/>
      <c r="L75" s="2"/>
      <c r="M75" s="2"/>
      <c r="N75" s="2"/>
      <c r="R75" s="67"/>
    </row>
    <row r="76" spans="2:18" ht="12.75">
      <c r="B76" s="20"/>
      <c r="C76" s="16" t="s">
        <v>56</v>
      </c>
      <c r="D76" s="32" t="s">
        <v>51</v>
      </c>
      <c r="E76" s="62" t="s">
        <v>108</v>
      </c>
      <c r="F76" s="48">
        <v>0.04730325</v>
      </c>
      <c r="G76" s="48">
        <f t="shared" si="5"/>
        <v>0.00260167875</v>
      </c>
      <c r="H76" s="48">
        <f t="shared" si="2"/>
        <v>0.002209061775</v>
      </c>
      <c r="I76" s="48">
        <f t="shared" si="3"/>
        <v>0.052113990525</v>
      </c>
      <c r="J76" s="49">
        <f t="shared" si="8"/>
        <v>0.072094494492285</v>
      </c>
      <c r="K76" s="56"/>
      <c r="L76" s="2"/>
      <c r="M76" s="2"/>
      <c r="N76" s="2"/>
      <c r="R76" s="67"/>
    </row>
    <row r="77" spans="2:18" ht="12.75">
      <c r="B77" s="20"/>
      <c r="C77" s="17">
        <v>502304</v>
      </c>
      <c r="D77" s="33" t="s">
        <v>13</v>
      </c>
      <c r="E77" s="62" t="s">
        <v>108</v>
      </c>
      <c r="F77" s="50">
        <v>0.03405834</v>
      </c>
      <c r="G77" s="50">
        <f t="shared" si="5"/>
        <v>0.0018732087</v>
      </c>
      <c r="H77" s="48">
        <f t="shared" si="2"/>
        <v>0.0015905244779999999</v>
      </c>
      <c r="I77" s="50">
        <f t="shared" si="3"/>
        <v>0.03752207317799999</v>
      </c>
      <c r="J77" s="51">
        <f t="shared" si="8"/>
        <v>0.05190803603444519</v>
      </c>
      <c r="K77" s="56"/>
      <c r="L77" s="2"/>
      <c r="M77" s="2"/>
      <c r="N77" s="2"/>
      <c r="R77" s="67"/>
    </row>
    <row r="78" spans="2:18" ht="12.75">
      <c r="B78" s="39"/>
      <c r="C78" s="35" t="s">
        <v>57</v>
      </c>
      <c r="D78" s="34" t="s">
        <v>46</v>
      </c>
      <c r="E78" s="61" t="s">
        <v>107</v>
      </c>
      <c r="F78" s="52">
        <f>5.638042832*1.075</f>
        <v>6.0608960444</v>
      </c>
      <c r="G78" s="52">
        <f t="shared" si="5"/>
        <v>0.33334928244199996</v>
      </c>
      <c r="H78" s="52">
        <f t="shared" si="2"/>
        <v>0.28304384527348</v>
      </c>
      <c r="I78" s="52">
        <f t="shared" si="3"/>
        <v>6.677289172115479</v>
      </c>
      <c r="J78" s="53">
        <f aca="true" t="shared" si="9" ref="J78:J87">+I78*1.276</f>
        <v>8.520220983619351</v>
      </c>
      <c r="K78" s="56"/>
      <c r="L78" s="2"/>
      <c r="M78" s="2"/>
      <c r="N78" s="2"/>
      <c r="R78" s="67"/>
    </row>
    <row r="79" spans="2:18" ht="12.75">
      <c r="B79" s="19"/>
      <c r="C79" s="16" t="s">
        <v>58</v>
      </c>
      <c r="D79" s="32" t="s">
        <v>48</v>
      </c>
      <c r="E79" s="62" t="s">
        <v>108</v>
      </c>
      <c r="F79" s="48">
        <f>0.1143*1.075</f>
        <v>0.1228725</v>
      </c>
      <c r="G79" s="48">
        <f t="shared" si="5"/>
        <v>0.0067579875</v>
      </c>
      <c r="H79" s="48">
        <f t="shared" si="2"/>
        <v>0.00573814575</v>
      </c>
      <c r="I79" s="48">
        <f t="shared" si="3"/>
        <v>0.13536863325</v>
      </c>
      <c r="J79" s="49">
        <f t="shared" si="9"/>
        <v>0.172730376027</v>
      </c>
      <c r="K79" s="56"/>
      <c r="L79" s="2"/>
      <c r="M79" s="2"/>
      <c r="N79" s="2"/>
      <c r="R79" s="67"/>
    </row>
    <row r="80" spans="2:18" ht="12.75">
      <c r="B80" s="19">
        <v>50</v>
      </c>
      <c r="C80" s="16" t="s">
        <v>55</v>
      </c>
      <c r="D80" s="32" t="s">
        <v>50</v>
      </c>
      <c r="E80" s="62" t="s">
        <v>108</v>
      </c>
      <c r="F80" s="48">
        <f>0.094732642*1.075</f>
        <v>0.10183759015</v>
      </c>
      <c r="G80" s="48">
        <f t="shared" si="5"/>
        <v>0.00560106745825</v>
      </c>
      <c r="H80" s="48">
        <f t="shared" si="2"/>
        <v>0.004755815460005</v>
      </c>
      <c r="I80" s="48">
        <f t="shared" si="3"/>
        <v>0.112194473068255</v>
      </c>
      <c r="J80" s="49">
        <f t="shared" si="9"/>
        <v>0.14316014763509338</v>
      </c>
      <c r="R80" s="67"/>
    </row>
    <row r="81" spans="2:18" ht="12.75">
      <c r="B81" s="20"/>
      <c r="C81" s="27">
        <v>501106</v>
      </c>
      <c r="D81" s="32" t="s">
        <v>51</v>
      </c>
      <c r="E81" s="62" t="s">
        <v>108</v>
      </c>
      <c r="F81" s="48">
        <f>0.0793*1.075</f>
        <v>0.08524749999999999</v>
      </c>
      <c r="G81" s="48">
        <f t="shared" si="5"/>
        <v>0.0046886125</v>
      </c>
      <c r="H81" s="48">
        <f t="shared" si="2"/>
        <v>0.003981058249999999</v>
      </c>
      <c r="I81" s="48">
        <f t="shared" si="3"/>
        <v>0.09391717074999999</v>
      </c>
      <c r="J81" s="49">
        <f t="shared" si="9"/>
        <v>0.11983830987699999</v>
      </c>
      <c r="R81" s="67"/>
    </row>
    <row r="82" spans="2:18" ht="12.75">
      <c r="B82" s="38"/>
      <c r="C82" s="37"/>
      <c r="D82" s="33" t="s">
        <v>13</v>
      </c>
      <c r="E82" s="62" t="s">
        <v>108</v>
      </c>
      <c r="F82" s="50">
        <f>0.057142326*1.075</f>
        <v>0.06142800045</v>
      </c>
      <c r="G82" s="50">
        <f t="shared" si="5"/>
        <v>0.00337854002475</v>
      </c>
      <c r="H82" s="50">
        <f t="shared" si="2"/>
        <v>0.002868687621015</v>
      </c>
      <c r="I82" s="50">
        <f t="shared" si="3"/>
        <v>0.067675228095765</v>
      </c>
      <c r="J82" s="51">
        <f t="shared" si="9"/>
        <v>0.08635359105019613</v>
      </c>
      <c r="R82" s="67"/>
    </row>
    <row r="83" spans="2:18" ht="12.75">
      <c r="B83" s="22"/>
      <c r="C83" s="16" t="s">
        <v>59</v>
      </c>
      <c r="D83" s="34" t="s">
        <v>60</v>
      </c>
      <c r="E83" s="61" t="s">
        <v>107</v>
      </c>
      <c r="F83" s="52">
        <f>16.51514135*1.075</f>
        <v>17.75377695125</v>
      </c>
      <c r="G83" s="52">
        <f t="shared" si="5"/>
        <v>0.97645773231875</v>
      </c>
      <c r="H83" s="48">
        <f t="shared" si="2"/>
        <v>0.8291013836233749</v>
      </c>
      <c r="I83" s="52">
        <f t="shared" si="3"/>
        <v>19.559336067192124</v>
      </c>
      <c r="J83" s="53">
        <f t="shared" si="9"/>
        <v>24.95771282173715</v>
      </c>
      <c r="R83" s="67"/>
    </row>
    <row r="84" spans="2:18" ht="12.75">
      <c r="B84" s="19"/>
      <c r="C84" s="16" t="s">
        <v>45</v>
      </c>
      <c r="D84" s="32" t="s">
        <v>62</v>
      </c>
      <c r="E84" s="62" t="s">
        <v>108</v>
      </c>
      <c r="F84" s="48">
        <f>16.0402*1.075</f>
        <v>17.243215</v>
      </c>
      <c r="G84" s="48">
        <f t="shared" si="5"/>
        <v>0.948376825</v>
      </c>
      <c r="H84" s="48">
        <f t="shared" si="2"/>
        <v>0.8052581404999999</v>
      </c>
      <c r="I84" s="48">
        <f t="shared" si="3"/>
        <v>18.9968499655</v>
      </c>
      <c r="J84" s="49">
        <f t="shared" si="9"/>
        <v>24.239980555978</v>
      </c>
      <c r="R84" s="67"/>
    </row>
    <row r="85" spans="2:18" ht="12.75">
      <c r="B85" s="19" t="s">
        <v>80</v>
      </c>
      <c r="C85" s="16" t="s">
        <v>61</v>
      </c>
      <c r="D85" s="32" t="s">
        <v>64</v>
      </c>
      <c r="E85" s="62" t="s">
        <v>108</v>
      </c>
      <c r="F85" s="48">
        <f>15.644383124*1.075</f>
        <v>16.8177118583</v>
      </c>
      <c r="G85" s="48">
        <f t="shared" si="5"/>
        <v>0.9249741522065</v>
      </c>
      <c r="H85" s="48">
        <f>+F85*0.0467</f>
        <v>0.78538714378261</v>
      </c>
      <c r="I85" s="48">
        <f aca="true" t="shared" si="10" ref="I85:I92">+F85+G85+H85</f>
        <v>18.52807315428911</v>
      </c>
      <c r="J85" s="49">
        <f t="shared" si="9"/>
        <v>23.641821344872906</v>
      </c>
      <c r="R85" s="67"/>
    </row>
    <row r="86" spans="2:18" ht="12.75">
      <c r="B86" s="20"/>
      <c r="C86" s="16" t="s">
        <v>63</v>
      </c>
      <c r="D86" s="32" t="s">
        <v>66</v>
      </c>
      <c r="E86" s="62" t="s">
        <v>108</v>
      </c>
      <c r="F86" s="48">
        <f>0.06835*1.075</f>
        <v>0.07347624999999999</v>
      </c>
      <c r="G86" s="48">
        <f t="shared" si="5"/>
        <v>0.00404119375</v>
      </c>
      <c r="H86" s="48">
        <f>+F86*0.0467</f>
        <v>0.0034313408749999997</v>
      </c>
      <c r="I86" s="48">
        <f t="shared" si="10"/>
        <v>0.08094878462499999</v>
      </c>
      <c r="J86" s="49">
        <f t="shared" si="9"/>
        <v>0.1032906491815</v>
      </c>
      <c r="R86" s="67"/>
    </row>
    <row r="87" spans="2:18" ht="12.75">
      <c r="B87" s="20"/>
      <c r="C87" s="16" t="s">
        <v>65</v>
      </c>
      <c r="D87" s="32" t="s">
        <v>67</v>
      </c>
      <c r="E87" s="62" t="s">
        <v>108</v>
      </c>
      <c r="F87" s="48">
        <f>0.0658*1.075</f>
        <v>0.07073499999999999</v>
      </c>
      <c r="G87" s="48">
        <f t="shared" si="5"/>
        <v>0.0038904249999999994</v>
      </c>
      <c r="H87" s="48">
        <f>+F87*0.0467</f>
        <v>0.0033033244999999996</v>
      </c>
      <c r="I87" s="48">
        <f t="shared" si="10"/>
        <v>0.07792874949999999</v>
      </c>
      <c r="J87" s="49">
        <f t="shared" si="9"/>
        <v>0.099437084362</v>
      </c>
      <c r="R87" s="67"/>
    </row>
    <row r="88" spans="2:10" ht="12.75">
      <c r="B88" s="39"/>
      <c r="C88" s="35" t="s">
        <v>129</v>
      </c>
      <c r="D88" s="34" t="s">
        <v>130</v>
      </c>
      <c r="E88" s="61" t="s">
        <v>107</v>
      </c>
      <c r="F88" s="52">
        <v>7.84</v>
      </c>
      <c r="G88" s="52">
        <v>0</v>
      </c>
      <c r="H88" s="52">
        <v>0</v>
      </c>
      <c r="I88" s="52">
        <f t="shared" si="10"/>
        <v>7.84</v>
      </c>
      <c r="J88" s="53">
        <f>+I88*1.21</f>
        <v>9.4864</v>
      </c>
    </row>
    <row r="89" spans="2:10" ht="12.75">
      <c r="B89" s="19"/>
      <c r="C89" s="16" t="s">
        <v>135</v>
      </c>
      <c r="D89" s="32" t="s">
        <v>131</v>
      </c>
      <c r="E89" s="62" t="s">
        <v>107</v>
      </c>
      <c r="F89" s="48">
        <v>4.68</v>
      </c>
      <c r="G89" s="48">
        <v>0</v>
      </c>
      <c r="H89" s="48">
        <v>0</v>
      </c>
      <c r="I89" s="48">
        <f t="shared" si="10"/>
        <v>4.68</v>
      </c>
      <c r="J89" s="49">
        <f>+I89*1.21</f>
        <v>5.6628</v>
      </c>
    </row>
    <row r="90" spans="2:10" ht="12.75">
      <c r="B90" s="19">
        <v>50</v>
      </c>
      <c r="C90" s="16" t="s">
        <v>53</v>
      </c>
      <c r="D90" s="32" t="s">
        <v>132</v>
      </c>
      <c r="E90" s="62" t="s">
        <v>108</v>
      </c>
      <c r="F90" s="48">
        <v>0.1003</v>
      </c>
      <c r="G90" s="48">
        <v>0</v>
      </c>
      <c r="H90" s="48">
        <v>0</v>
      </c>
      <c r="I90" s="48">
        <f t="shared" si="10"/>
        <v>0.1003</v>
      </c>
      <c r="J90" s="49">
        <f>+I90*1.21</f>
        <v>0.121363</v>
      </c>
    </row>
    <row r="91" spans="2:10" ht="12.75">
      <c r="B91" s="20"/>
      <c r="C91" s="17" t="s">
        <v>136</v>
      </c>
      <c r="D91" s="32" t="s">
        <v>134</v>
      </c>
      <c r="E91" s="62" t="s">
        <v>108</v>
      </c>
      <c r="F91" s="48">
        <v>0.0889</v>
      </c>
      <c r="G91" s="48">
        <v>0</v>
      </c>
      <c r="H91" s="48">
        <v>0</v>
      </c>
      <c r="I91" s="48">
        <f t="shared" si="10"/>
        <v>0.0889</v>
      </c>
      <c r="J91" s="49">
        <f>+I91*1.21</f>
        <v>0.10756900000000001</v>
      </c>
    </row>
    <row r="92" spans="2:10" ht="13.5" thickBot="1">
      <c r="B92" s="59"/>
      <c r="C92" s="26"/>
      <c r="D92" s="31" t="s">
        <v>133</v>
      </c>
      <c r="E92" s="64" t="s">
        <v>108</v>
      </c>
      <c r="F92" s="54">
        <v>0.0855</v>
      </c>
      <c r="G92" s="54">
        <v>0</v>
      </c>
      <c r="H92" s="54">
        <v>0</v>
      </c>
      <c r="I92" s="54">
        <f t="shared" si="10"/>
        <v>0.0855</v>
      </c>
      <c r="J92" s="55">
        <f>+I92*1.21</f>
        <v>0.103455</v>
      </c>
    </row>
    <row r="93" ht="13.5" thickTop="1">
      <c r="B93" s="70" t="s">
        <v>137</v>
      </c>
    </row>
  </sheetData>
  <printOptions horizontalCentered="1" verticalCentered="1"/>
  <pageMargins left="0" right="0" top="0" bottom="0" header="0" footer="0"/>
  <pageSetup fitToHeight="1" fitToWidth="1" horizontalDpi="300" verticalDpi="300" orientation="portrait" paperSize="9" scale="67" r:id="rId3"/>
  <legacyDrawing r:id="rId2"/>
  <oleObjects>
    <oleObject progId="Paint.Picture" shapeId="9786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SECHEEP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SECHEEP</dc:creator>
  <cp:keywords/>
  <dc:description/>
  <cp:lastModifiedBy>*</cp:lastModifiedBy>
  <cp:lastPrinted>2008-04-16T15:11:21Z</cp:lastPrinted>
  <dcterms:created xsi:type="dcterms:W3CDTF">2000-12-05T11:15:52Z</dcterms:created>
  <dcterms:modified xsi:type="dcterms:W3CDTF">2008-04-16T15:11:23Z</dcterms:modified>
  <cp:category/>
  <cp:version/>
  <cp:contentType/>
  <cp:contentStatus/>
</cp:coreProperties>
</file>