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515" activeTab="0"/>
  </bookViews>
  <sheets>
    <sheet name="tarifa 21 10 08 " sheetId="1" r:id="rId1"/>
  </sheets>
  <definedNames>
    <definedName name="_xlnm.Print_Area" localSheetId="0">'tarifa 21 10 08 '!$B$74:$K$139</definedName>
  </definedNames>
  <calcPr fullCalcOnLoad="1"/>
</workbook>
</file>

<file path=xl/sharedStrings.xml><?xml version="1.0" encoding="utf-8"?>
<sst xmlns="http://schemas.openxmlformats.org/spreadsheetml/2006/main" count="371" uniqueCount="148">
  <si>
    <t>PRECIO</t>
  </si>
  <si>
    <t>CATEGORIAS</t>
  </si>
  <si>
    <t>ESCALA MENSUAL</t>
  </si>
  <si>
    <t>BASICO</t>
  </si>
  <si>
    <t>FINAL</t>
  </si>
  <si>
    <t xml:space="preserve"> 01</t>
  </si>
  <si>
    <t>RESIDENCIAL</t>
  </si>
  <si>
    <t>Cargo Fijo</t>
  </si>
  <si>
    <t>GRAVAMENES</t>
  </si>
  <si>
    <t>Familiar</t>
  </si>
  <si>
    <t xml:space="preserve">Primeros 50 Kwh              </t>
  </si>
  <si>
    <t xml:space="preserve"> (hasta 20 Kw)</t>
  </si>
  <si>
    <t>Excedente</t>
  </si>
  <si>
    <t xml:space="preserve"> 10,74%-Ley Provincial-3052/85</t>
  </si>
  <si>
    <t>Cgo.fijo c/decho.a 200 Kwh</t>
  </si>
  <si>
    <t>Especial</t>
  </si>
  <si>
    <t xml:space="preserve">Excedente 200 Kwh         </t>
  </si>
  <si>
    <t>Consorcio</t>
  </si>
  <si>
    <t>Primeros 50 Kwh</t>
  </si>
  <si>
    <t xml:space="preserve">Excedente                         </t>
  </si>
  <si>
    <t>Con I.V.A. 27 %</t>
  </si>
  <si>
    <t>Ley 23871</t>
  </si>
  <si>
    <t>01</t>
  </si>
  <si>
    <t>Prepago</t>
  </si>
  <si>
    <t>Todo el consumo</t>
  </si>
  <si>
    <t>SERVICIO</t>
  </si>
  <si>
    <t>Todo el Consumo</t>
  </si>
  <si>
    <t>Part. y Ofic.</t>
  </si>
  <si>
    <t>COMERCIAL</t>
  </si>
  <si>
    <t>&lt;50kw-Par.y of.</t>
  </si>
  <si>
    <t>Baja Tensión</t>
  </si>
  <si>
    <t>Res.&gt;20Kw y</t>
  </si>
  <si>
    <t>&lt; 50Kw.</t>
  </si>
  <si>
    <t xml:space="preserve"> 2B</t>
  </si>
  <si>
    <t>INDUSTRIALES</t>
  </si>
  <si>
    <t>Menor 50 Kw</t>
  </si>
  <si>
    <t xml:space="preserve"> 04</t>
  </si>
  <si>
    <t xml:space="preserve">Cargo Fijo                </t>
  </si>
  <si>
    <t xml:space="preserve">Todo el Consumo  </t>
  </si>
  <si>
    <t xml:space="preserve">Cargo Fijo            </t>
  </si>
  <si>
    <t xml:space="preserve">Todo el Consumo      </t>
  </si>
  <si>
    <t>SERV.PUBLICO</t>
  </si>
  <si>
    <t>SANITARIO</t>
  </si>
  <si>
    <t xml:space="preserve">Cargo Fijo              </t>
  </si>
  <si>
    <t>POTENCIAS</t>
  </si>
  <si>
    <t>C/Fijo x/c/Kw o Fracc.C. S.</t>
  </si>
  <si>
    <t>Pros.100Kwhx/c/Kw o frac. C. S.</t>
  </si>
  <si>
    <t xml:space="preserve"> 50 Kw o más</t>
  </si>
  <si>
    <t>Sig.100Kwhx/c/Kw o frac. C. S.</t>
  </si>
  <si>
    <t>Sig.200Kwhx/c/Kw o frac. C. S.</t>
  </si>
  <si>
    <t>Media tensión</t>
  </si>
  <si>
    <t>Media tension</t>
  </si>
  <si>
    <t>PUBLICO</t>
  </si>
  <si>
    <t>Baja Tension</t>
  </si>
  <si>
    <t>Media Tension</t>
  </si>
  <si>
    <t>RIEGO</t>
  </si>
  <si>
    <t>AGRICOLA</t>
  </si>
  <si>
    <t xml:space="preserve">GRANDES </t>
  </si>
  <si>
    <t>Cargo fijo pros.2000KW</t>
  </si>
  <si>
    <t>Cargo fijo pros.8000KW</t>
  </si>
  <si>
    <t>1000 KW o Mas</t>
  </si>
  <si>
    <t>Cargo Fijo excdte. 10000KW</t>
  </si>
  <si>
    <t>En Media Tension</t>
  </si>
  <si>
    <t>Pros.350 Kwh/Kw c.s.</t>
  </si>
  <si>
    <t>Excedente de 350 Kwh/kw c.s.</t>
  </si>
  <si>
    <t>Bonificación del 40 % sobre valores</t>
  </si>
  <si>
    <t>del cuadro tarifario a Usuarios Ofi -</t>
  </si>
  <si>
    <t>ciales, Municipales y Provinciales.</t>
  </si>
  <si>
    <t>Según Resol. N° 3825/96</t>
  </si>
  <si>
    <t>Cuota Unica mensual</t>
  </si>
  <si>
    <t>0442-0452-0462-0472</t>
  </si>
  <si>
    <t>Tarifa Interes Social</t>
  </si>
  <si>
    <t>50 y 55</t>
  </si>
  <si>
    <t>60 y 65</t>
  </si>
  <si>
    <t>CODIGO</t>
  </si>
  <si>
    <t>TARIFARIO</t>
  </si>
  <si>
    <t xml:space="preserve"> 0,60%-Ley 23681-ESPSE-Sta.Cruz</t>
  </si>
  <si>
    <t>SERVICIOS ENERGETICOS DEL CHACO</t>
  </si>
  <si>
    <t>EMPRESA DEL ESTADO PROVINCIAL</t>
  </si>
  <si>
    <t>ELECTR. RURAL</t>
  </si>
  <si>
    <t>0441-0451-0461</t>
  </si>
  <si>
    <t>GDES. POTENCIAS</t>
  </si>
  <si>
    <t>SERVICIO PUBLICO</t>
  </si>
  <si>
    <t xml:space="preserve">Primeros 1000 Kwh        </t>
  </si>
  <si>
    <t xml:space="preserve">Siguientes 1000 Kwh    </t>
  </si>
  <si>
    <t>2A</t>
  </si>
  <si>
    <t>SANITARIO &lt;50 KW</t>
  </si>
  <si>
    <t>ENT.SIN FIN DE LUCRO</t>
  </si>
  <si>
    <t>AUTOR.- ENT.S.F.LUCRO</t>
  </si>
  <si>
    <t>TOTAL</t>
  </si>
  <si>
    <t>CARGOS</t>
  </si>
  <si>
    <r>
      <t>NACION.</t>
    </r>
    <r>
      <rPr>
        <sz val="8"/>
        <rFont val="Arial"/>
        <family val="2"/>
      </rPr>
      <t>(5,5 %</t>
    </r>
    <r>
      <rPr>
        <b/>
        <sz val="8"/>
        <rFont val="Arial"/>
        <family val="2"/>
      </rPr>
      <t>)</t>
    </r>
  </si>
  <si>
    <r>
      <t>NACION.</t>
    </r>
    <r>
      <rPr>
        <sz val="8"/>
        <rFont val="Arial"/>
        <family val="2"/>
      </rPr>
      <t>(4,67 %</t>
    </r>
    <r>
      <rPr>
        <b/>
        <sz val="8"/>
        <rFont val="Arial"/>
        <family val="2"/>
      </rPr>
      <t>)</t>
    </r>
  </si>
  <si>
    <t>Unidad</t>
  </si>
  <si>
    <t>$-mes</t>
  </si>
  <si>
    <t>$/kW-mes</t>
  </si>
  <si>
    <t>$/kWh</t>
  </si>
  <si>
    <t xml:space="preserve">CARGOS </t>
  </si>
  <si>
    <t>Resol.7515/06</t>
  </si>
  <si>
    <t>502/2-3-4/07</t>
  </si>
  <si>
    <t>Ministerio de Infraestructura, Obras, Serv.Públicos y Medio Ambiente.</t>
  </si>
  <si>
    <t>Tarifa Social</t>
  </si>
  <si>
    <t>Siguientes 100 Kwh</t>
  </si>
  <si>
    <t>Siguientes 50 KWh</t>
  </si>
  <si>
    <t>501/2-3-4/07</t>
  </si>
  <si>
    <t>0443-0453-0463-0473</t>
  </si>
  <si>
    <t>Con limitador de corriente</t>
  </si>
  <si>
    <t>Con medidor comunitario</t>
  </si>
  <si>
    <t xml:space="preserve">Siguientes 100 Kwh         </t>
  </si>
  <si>
    <t xml:space="preserve">Primeros 250 Kwh       </t>
  </si>
  <si>
    <t>COOPERATIVAS</t>
  </si>
  <si>
    <t>DISTRIBUIDORES</t>
  </si>
  <si>
    <t>Potencia en Punta</t>
  </si>
  <si>
    <t>Potencia Fuera de Punta</t>
  </si>
  <si>
    <t>Energia Pico</t>
  </si>
  <si>
    <t>Energia Valle</t>
  </si>
  <si>
    <t>Energia Resto</t>
  </si>
  <si>
    <t>Fuera de la Provincia</t>
  </si>
  <si>
    <t>Part.y Oficiales Nacionales</t>
  </si>
  <si>
    <t>Rep.Nac.y Part. &lt;50KW</t>
  </si>
  <si>
    <t>Rep.Prov. y Munic.&lt;50KW</t>
  </si>
  <si>
    <t>Ofic. Provin. Y Municipales</t>
  </si>
  <si>
    <t>Ofic.Provin.y Municipales</t>
  </si>
  <si>
    <t>HOJA 1</t>
  </si>
  <si>
    <t>HOJA 2</t>
  </si>
  <si>
    <t>01/11/08</t>
  </si>
  <si>
    <t>Tarifas a aplicar a facturas que se emitan a partir del :</t>
  </si>
  <si>
    <t>Resolucion Nº :</t>
  </si>
  <si>
    <t>0111-0112-0113-0115-0116</t>
  </si>
  <si>
    <t xml:space="preserve"> 21,00%-IVA-        Tarifas :</t>
  </si>
  <si>
    <t xml:space="preserve"> 27.00%-   IVA  Para resto de los Usuarios</t>
  </si>
  <si>
    <t>ENTIDADES DEPORTIVAS</t>
  </si>
  <si>
    <t>1000 kwh</t>
  </si>
  <si>
    <t>Resol 7406/06</t>
  </si>
  <si>
    <t>PARTICULARES y OFIC. NAC.</t>
  </si>
  <si>
    <t>OFIC. PROV. y MUNIC.</t>
  </si>
  <si>
    <t>502115H</t>
  </si>
  <si>
    <t>503115H</t>
  </si>
  <si>
    <t>5021/05-502/3/115H</t>
  </si>
  <si>
    <t>Electrificación rural (502105) y Distribuidores(502/3/115H)</t>
  </si>
  <si>
    <t>Riego Agrícola (501106) están exentos de la tasa del</t>
  </si>
  <si>
    <t xml:space="preserve"> 10,74 %-Decreto Nº1581/93</t>
  </si>
  <si>
    <t>Todos los industriales (2B, 50,55,60,65,80)</t>
  </si>
  <si>
    <t>A los pescadores se bonificara 50% sobre tarifa Residencial 0111</t>
  </si>
  <si>
    <t>hasta  500kwh-mes, lo que exceda de ese valor se facturarà</t>
  </si>
  <si>
    <t>al precio excedente de dicha tarifa.- Res.7986/08</t>
  </si>
  <si>
    <t xml:space="preserve">Bonificacion  residencia estudiantil Nº1 y Nº2 s/Decreto 1248/02 </t>
  </si>
  <si>
    <t>8077/08</t>
  </si>
</sst>
</file>

<file path=xl/styles.xml><?xml version="1.0" encoding="utf-8"?>
<styleSheet xmlns="http://schemas.openxmlformats.org/spreadsheetml/2006/main">
  <numFmts count="4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"/>
    <numFmt numFmtId="189" formatCode="0.0000"/>
    <numFmt numFmtId="190" formatCode="0.0000000"/>
    <numFmt numFmtId="191" formatCode="0.00000000"/>
    <numFmt numFmtId="192" formatCode="0.000000"/>
    <numFmt numFmtId="193" formatCode="0.00000"/>
    <numFmt numFmtId="194" formatCode="0.0"/>
    <numFmt numFmtId="195" formatCode="_-* #,##0_-;\-* #,##0_-;_-* &quot;-&quot;??_-;_-@_-"/>
    <numFmt numFmtId="196" formatCode="#,##0.0000"/>
    <numFmt numFmtId="197" formatCode="_-* #,##0.0000_-;\-* #,##0.0000_-;_-* &quot;-&quot;??_-;_-@_-"/>
    <numFmt numFmtId="198" formatCode="0.0000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9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89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2" fillId="0" borderId="2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9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89" fontId="6" fillId="0" borderId="0" xfId="0" applyNumberFormat="1" applyFont="1" applyBorder="1" applyAlignment="1">
      <alignment horizontal="center"/>
    </xf>
    <xf numFmtId="189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189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 quotePrefix="1">
      <alignment/>
    </xf>
    <xf numFmtId="189" fontId="7" fillId="0" borderId="9" xfId="0" applyNumberFormat="1" applyFont="1" applyBorder="1" applyAlignment="1">
      <alignment horizontal="center"/>
    </xf>
    <xf numFmtId="189" fontId="7" fillId="0" borderId="31" xfId="0" applyNumberFormat="1" applyFont="1" applyBorder="1" applyAlignment="1">
      <alignment horizontal="center"/>
    </xf>
    <xf numFmtId="189" fontId="7" fillId="0" borderId="15" xfId="0" applyNumberFormat="1" applyFont="1" applyBorder="1" applyAlignment="1">
      <alignment horizontal="center"/>
    </xf>
    <xf numFmtId="189" fontId="7" fillId="0" borderId="32" xfId="0" applyNumberFormat="1" applyFont="1" applyBorder="1" applyAlignment="1">
      <alignment horizontal="center"/>
    </xf>
    <xf numFmtId="189" fontId="7" fillId="0" borderId="16" xfId="0" applyNumberFormat="1" applyFont="1" applyBorder="1" applyAlignment="1">
      <alignment horizontal="center"/>
    </xf>
    <xf numFmtId="189" fontId="7" fillId="0" borderId="33" xfId="0" applyNumberFormat="1" applyFont="1" applyBorder="1" applyAlignment="1">
      <alignment horizontal="center"/>
    </xf>
    <xf numFmtId="189" fontId="7" fillId="0" borderId="17" xfId="0" applyNumberFormat="1" applyFont="1" applyBorder="1" applyAlignment="1">
      <alignment horizontal="center"/>
    </xf>
    <xf numFmtId="189" fontId="7" fillId="0" borderId="34" xfId="0" applyNumberFormat="1" applyFont="1" applyBorder="1" applyAlignment="1">
      <alignment horizontal="center"/>
    </xf>
    <xf numFmtId="189" fontId="7" fillId="0" borderId="14" xfId="0" applyNumberFormat="1" applyFont="1" applyBorder="1" applyAlignment="1">
      <alignment horizontal="center"/>
    </xf>
    <xf numFmtId="189" fontId="7" fillId="0" borderId="35" xfId="0" applyNumberFormat="1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189" fontId="8" fillId="0" borderId="17" xfId="0" applyNumberFormat="1" applyFont="1" applyBorder="1" applyAlignment="1">
      <alignment horizontal="center"/>
    </xf>
    <xf numFmtId="189" fontId="8" fillId="0" borderId="16" xfId="0" applyNumberFormat="1" applyFont="1" applyBorder="1" applyAlignment="1">
      <alignment horizontal="center"/>
    </xf>
    <xf numFmtId="189" fontId="8" fillId="0" borderId="15" xfId="0" applyNumberFormat="1" applyFont="1" applyBorder="1" applyAlignment="1">
      <alignment horizontal="center"/>
    </xf>
    <xf numFmtId="189" fontId="8" fillId="0" borderId="34" xfId="0" applyNumberFormat="1" applyFont="1" applyBorder="1" applyAlignment="1">
      <alignment horizontal="center"/>
    </xf>
    <xf numFmtId="189" fontId="8" fillId="0" borderId="3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189" fontId="8" fillId="0" borderId="9" xfId="0" applyNumberFormat="1" applyFont="1" applyBorder="1" applyAlignment="1">
      <alignment horizontal="center"/>
    </xf>
    <xf numFmtId="189" fontId="8" fillId="0" borderId="14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146"/>
  <sheetViews>
    <sheetView tabSelected="1" workbookViewId="0" topLeftCell="A1">
      <selection activeCell="B4" sqref="B4"/>
    </sheetView>
  </sheetViews>
  <sheetFormatPr defaultColWidth="11.421875" defaultRowHeight="12.75"/>
  <cols>
    <col min="2" max="2" width="10.00390625" style="0" customWidth="1"/>
    <col min="3" max="3" width="22.421875" style="0" customWidth="1"/>
    <col min="4" max="4" width="28.421875" style="0" customWidth="1"/>
    <col min="5" max="5" width="7.7109375" style="0" customWidth="1"/>
    <col min="6" max="6" width="12.7109375" style="0" customWidth="1"/>
    <col min="7" max="7" width="15.57421875" style="0" customWidth="1"/>
    <col min="8" max="8" width="13.7109375" style="0" customWidth="1"/>
    <col min="9" max="9" width="11.57421875" style="0" customWidth="1"/>
    <col min="10" max="10" width="18.28125" style="0" customWidth="1"/>
    <col min="11" max="11" width="2.00390625" style="0" customWidth="1"/>
    <col min="12" max="12" width="2.140625" style="0" customWidth="1"/>
    <col min="15" max="15" width="5.140625" style="0" customWidth="1"/>
    <col min="16" max="16" width="0.9921875" style="0" customWidth="1"/>
    <col min="18" max="18" width="13.8515625" style="0" customWidth="1"/>
  </cols>
  <sheetData>
    <row r="5" spans="3:10" ht="12.75">
      <c r="C5" s="50" t="s">
        <v>77</v>
      </c>
      <c r="G5" s="1" t="s">
        <v>127</v>
      </c>
      <c r="H5" s="1" t="s">
        <v>147</v>
      </c>
      <c r="J5" s="63" t="s">
        <v>123</v>
      </c>
    </row>
    <row r="6" spans="3:10" ht="12.75">
      <c r="C6" s="50" t="s">
        <v>78</v>
      </c>
      <c r="H6" s="56"/>
      <c r="J6" s="53"/>
    </row>
    <row r="7" spans="3:10" ht="12.75">
      <c r="C7" s="2" t="s">
        <v>100</v>
      </c>
      <c r="G7" s="49" t="s">
        <v>126</v>
      </c>
      <c r="H7" s="57"/>
      <c r="J7" s="75" t="s">
        <v>125</v>
      </c>
    </row>
    <row r="8" spans="3:10" ht="13.5" thickBot="1">
      <c r="C8" s="1"/>
      <c r="J8" s="51"/>
    </row>
    <row r="9" spans="2:10" ht="13.5" thickTop="1">
      <c r="B9" s="22" t="s">
        <v>74</v>
      </c>
      <c r="C9" s="17"/>
      <c r="D9" s="17"/>
      <c r="E9" s="17"/>
      <c r="F9" s="22" t="s">
        <v>0</v>
      </c>
      <c r="G9" s="23" t="s">
        <v>90</v>
      </c>
      <c r="H9" s="23" t="s">
        <v>97</v>
      </c>
      <c r="I9" s="22" t="s">
        <v>89</v>
      </c>
      <c r="J9" s="23" t="s">
        <v>0</v>
      </c>
    </row>
    <row r="10" spans="2:10" ht="12.75">
      <c r="B10" s="34" t="s">
        <v>75</v>
      </c>
      <c r="C10" s="34" t="s">
        <v>1</v>
      </c>
      <c r="D10" s="34" t="s">
        <v>2</v>
      </c>
      <c r="E10" s="34" t="s">
        <v>93</v>
      </c>
      <c r="F10" s="34" t="s">
        <v>3</v>
      </c>
      <c r="G10" s="36" t="s">
        <v>91</v>
      </c>
      <c r="H10" s="36" t="s">
        <v>92</v>
      </c>
      <c r="I10" s="34" t="s">
        <v>3</v>
      </c>
      <c r="J10" s="36" t="s">
        <v>4</v>
      </c>
    </row>
    <row r="11" spans="2:19" ht="13.5" thickBot="1">
      <c r="B11" s="35"/>
      <c r="C11" s="35"/>
      <c r="D11" s="35"/>
      <c r="E11" s="35"/>
      <c r="F11" s="37"/>
      <c r="G11" s="83" t="s">
        <v>133</v>
      </c>
      <c r="H11" s="45" t="s">
        <v>98</v>
      </c>
      <c r="I11" s="37"/>
      <c r="J11" s="38"/>
      <c r="L11" s="2"/>
      <c r="S11" s="40"/>
    </row>
    <row r="12" spans="2:18" ht="13.5" thickTop="1">
      <c r="B12" s="11"/>
      <c r="C12" s="18" t="s">
        <v>6</v>
      </c>
      <c r="D12" s="16" t="s">
        <v>7</v>
      </c>
      <c r="E12" s="42" t="s">
        <v>94</v>
      </c>
      <c r="F12" s="92">
        <f>7.6055*1.1</f>
        <v>8.366050000000001</v>
      </c>
      <c r="G12" s="65">
        <f aca="true" t="shared" si="0" ref="G12:G26">+F12*0.055</f>
        <v>0.4601327500000001</v>
      </c>
      <c r="H12" s="65">
        <f>+F12*0.0467</f>
        <v>0.39069453500000006</v>
      </c>
      <c r="I12" s="65">
        <f>+F12+G12+H12</f>
        <v>9.216877285</v>
      </c>
      <c r="J12" s="66">
        <f aca="true" t="shared" si="1" ref="J12:J21">+I12*1.3234</f>
        <v>12.197615398969</v>
      </c>
      <c r="K12" s="39"/>
      <c r="L12" s="2"/>
      <c r="R12" s="48"/>
    </row>
    <row r="13" spans="2:18" ht="12.75">
      <c r="B13" s="21" t="s">
        <v>22</v>
      </c>
      <c r="C13" s="9" t="s">
        <v>9</v>
      </c>
      <c r="D13" s="25" t="s">
        <v>10</v>
      </c>
      <c r="E13" s="44" t="s">
        <v>96</v>
      </c>
      <c r="F13" s="78">
        <f>0.0899*1.1</f>
        <v>0.09889</v>
      </c>
      <c r="G13" s="67">
        <f t="shared" si="0"/>
        <v>0.0054389500000000006</v>
      </c>
      <c r="H13" s="67">
        <f aca="true" t="shared" si="2" ref="H13:H57">+F13*0.0467</f>
        <v>0.004618163</v>
      </c>
      <c r="I13" s="67">
        <f aca="true" t="shared" si="3" ref="I13:I57">+F13+G13+H13</f>
        <v>0.108947113</v>
      </c>
      <c r="J13" s="68">
        <f t="shared" si="1"/>
        <v>0.1441806093442</v>
      </c>
      <c r="K13" s="39"/>
      <c r="L13" s="2"/>
      <c r="R13" s="48"/>
    </row>
    <row r="14" spans="2:18" ht="12.75">
      <c r="B14" s="12"/>
      <c r="C14" s="9" t="s">
        <v>11</v>
      </c>
      <c r="D14" s="25" t="s">
        <v>108</v>
      </c>
      <c r="E14" s="44" t="s">
        <v>96</v>
      </c>
      <c r="F14" s="78">
        <f>0.1145*1.12</f>
        <v>0.12824000000000002</v>
      </c>
      <c r="G14" s="67">
        <f t="shared" si="0"/>
        <v>0.007053200000000001</v>
      </c>
      <c r="H14" s="67">
        <f t="shared" si="2"/>
        <v>0.005988808000000001</v>
      </c>
      <c r="I14" s="67">
        <f t="shared" si="3"/>
        <v>0.14128200800000004</v>
      </c>
      <c r="J14" s="68">
        <f t="shared" si="1"/>
        <v>0.18697260938720003</v>
      </c>
      <c r="K14" s="39"/>
      <c r="L14" s="2"/>
      <c r="R14" s="48"/>
    </row>
    <row r="15" spans="2:18" ht="12.75">
      <c r="B15" s="12"/>
      <c r="C15" s="9"/>
      <c r="D15" s="25" t="s">
        <v>108</v>
      </c>
      <c r="E15" s="44" t="s">
        <v>96</v>
      </c>
      <c r="F15" s="78">
        <f>0.1738*1.14</f>
        <v>0.198132</v>
      </c>
      <c r="G15" s="67">
        <f t="shared" si="0"/>
        <v>0.01089726</v>
      </c>
      <c r="H15" s="67">
        <f t="shared" si="2"/>
        <v>0.0092527644</v>
      </c>
      <c r="I15" s="67">
        <f t="shared" si="3"/>
        <v>0.2182820244</v>
      </c>
      <c r="J15" s="68">
        <f t="shared" si="1"/>
        <v>0.28887443109095995</v>
      </c>
      <c r="K15" s="39"/>
      <c r="L15" s="2"/>
      <c r="R15" s="48"/>
    </row>
    <row r="16" spans="2:18" ht="12.75">
      <c r="B16" s="12"/>
      <c r="C16" s="9"/>
      <c r="D16" s="26" t="s">
        <v>12</v>
      </c>
      <c r="E16" s="44" t="s">
        <v>96</v>
      </c>
      <c r="F16" s="77">
        <f>0.1877*1.18</f>
        <v>0.221486</v>
      </c>
      <c r="G16" s="69">
        <f t="shared" si="0"/>
        <v>0.01218173</v>
      </c>
      <c r="H16" s="67">
        <f t="shared" si="2"/>
        <v>0.010343396199999999</v>
      </c>
      <c r="I16" s="69">
        <f t="shared" si="3"/>
        <v>0.24401112619999998</v>
      </c>
      <c r="J16" s="70">
        <f t="shared" si="1"/>
        <v>0.32292432441307994</v>
      </c>
      <c r="K16" s="39"/>
      <c r="L16" s="2"/>
      <c r="R16" s="48"/>
    </row>
    <row r="17" spans="2:18" ht="12.75">
      <c r="B17" s="14" t="s">
        <v>5</v>
      </c>
      <c r="C17" s="28" t="s">
        <v>6</v>
      </c>
      <c r="D17" s="27" t="s">
        <v>14</v>
      </c>
      <c r="E17" s="43" t="s">
        <v>94</v>
      </c>
      <c r="F17" s="76">
        <f>+F12*0.25</f>
        <v>2.0915125000000003</v>
      </c>
      <c r="G17" s="71">
        <f t="shared" si="0"/>
        <v>0.11503318750000002</v>
      </c>
      <c r="H17" s="71">
        <f t="shared" si="2"/>
        <v>0.09767363375000002</v>
      </c>
      <c r="I17" s="71">
        <f t="shared" si="3"/>
        <v>2.30421932125</v>
      </c>
      <c r="J17" s="72">
        <f t="shared" si="1"/>
        <v>3.04940384974225</v>
      </c>
      <c r="K17" s="39"/>
      <c r="L17" s="2"/>
      <c r="R17" s="48"/>
    </row>
    <row r="18" spans="2:18" ht="12.75">
      <c r="B18" s="29"/>
      <c r="C18" s="30" t="s">
        <v>15</v>
      </c>
      <c r="D18" s="26" t="s">
        <v>16</v>
      </c>
      <c r="E18" s="44" t="s">
        <v>96</v>
      </c>
      <c r="F18" s="77">
        <f>+F16*0.25</f>
        <v>0.0553715</v>
      </c>
      <c r="G18" s="69">
        <f t="shared" si="0"/>
        <v>0.0030454325</v>
      </c>
      <c r="H18" s="69">
        <f t="shared" si="2"/>
        <v>0.0025858490499999997</v>
      </c>
      <c r="I18" s="69">
        <f t="shared" si="3"/>
        <v>0.061002781549999996</v>
      </c>
      <c r="J18" s="70">
        <f t="shared" si="1"/>
        <v>0.08073108110326999</v>
      </c>
      <c r="K18" s="39"/>
      <c r="L18" s="2"/>
      <c r="R18" s="48"/>
    </row>
    <row r="19" spans="2:18" ht="12.75">
      <c r="B19" s="12"/>
      <c r="C19" s="9" t="s">
        <v>6</v>
      </c>
      <c r="D19" s="27" t="s">
        <v>7</v>
      </c>
      <c r="E19" s="43" t="s">
        <v>94</v>
      </c>
      <c r="F19" s="76">
        <f>+F12</f>
        <v>8.366050000000001</v>
      </c>
      <c r="G19" s="71">
        <f t="shared" si="0"/>
        <v>0.4601327500000001</v>
      </c>
      <c r="H19" s="67">
        <f t="shared" si="2"/>
        <v>0.39069453500000006</v>
      </c>
      <c r="I19" s="71">
        <f t="shared" si="3"/>
        <v>9.216877285</v>
      </c>
      <c r="J19" s="72">
        <f t="shared" si="1"/>
        <v>12.197615398969</v>
      </c>
      <c r="K19" s="39"/>
      <c r="L19" s="2"/>
      <c r="R19" s="48"/>
    </row>
    <row r="20" spans="2:18" ht="12.75">
      <c r="B20" s="21" t="s">
        <v>22</v>
      </c>
      <c r="C20" s="9" t="s">
        <v>17</v>
      </c>
      <c r="D20" s="25" t="s">
        <v>18</v>
      </c>
      <c r="E20" s="44" t="s">
        <v>96</v>
      </c>
      <c r="F20" s="78">
        <f>+F13</f>
        <v>0.09889</v>
      </c>
      <c r="G20" s="67">
        <f t="shared" si="0"/>
        <v>0.0054389500000000006</v>
      </c>
      <c r="H20" s="67">
        <f t="shared" si="2"/>
        <v>0.004618163</v>
      </c>
      <c r="I20" s="67">
        <f t="shared" si="3"/>
        <v>0.108947113</v>
      </c>
      <c r="J20" s="68">
        <f t="shared" si="1"/>
        <v>0.1441806093442</v>
      </c>
      <c r="K20" s="39"/>
      <c r="L20" s="2"/>
      <c r="R20" s="48"/>
    </row>
    <row r="21" spans="2:18" ht="12.75">
      <c r="B21" s="12"/>
      <c r="C21" s="9"/>
      <c r="D21" s="26" t="s">
        <v>19</v>
      </c>
      <c r="E21" s="44" t="s">
        <v>96</v>
      </c>
      <c r="F21" s="78">
        <f>+F14</f>
        <v>0.12824000000000002</v>
      </c>
      <c r="G21" s="69">
        <f t="shared" si="0"/>
        <v>0.007053200000000001</v>
      </c>
      <c r="H21" s="67">
        <f t="shared" si="2"/>
        <v>0.005988808000000001</v>
      </c>
      <c r="I21" s="69">
        <f t="shared" si="3"/>
        <v>0.14128200800000004</v>
      </c>
      <c r="J21" s="70">
        <f t="shared" si="1"/>
        <v>0.18697260938720003</v>
      </c>
      <c r="K21" s="39"/>
      <c r="L21" s="2"/>
      <c r="R21" s="48"/>
    </row>
    <row r="22" spans="2:18" ht="12.75">
      <c r="B22" s="14"/>
      <c r="C22" s="28" t="s">
        <v>6</v>
      </c>
      <c r="D22" s="25" t="s">
        <v>7</v>
      </c>
      <c r="E22" s="43" t="s">
        <v>94</v>
      </c>
      <c r="F22" s="76">
        <f>+F12</f>
        <v>8.366050000000001</v>
      </c>
      <c r="G22" s="71">
        <f t="shared" si="0"/>
        <v>0.4601327500000001</v>
      </c>
      <c r="H22" s="71">
        <f t="shared" si="2"/>
        <v>0.39069453500000006</v>
      </c>
      <c r="I22" s="71">
        <f t="shared" si="3"/>
        <v>9.216877285</v>
      </c>
      <c r="J22" s="72">
        <f>+I22*1.3834</f>
        <v>12.750628036069001</v>
      </c>
      <c r="K22" s="39"/>
      <c r="L22" s="2"/>
      <c r="R22" s="48"/>
    </row>
    <row r="23" spans="2:18" ht="12.75">
      <c r="B23" s="21" t="s">
        <v>22</v>
      </c>
      <c r="C23" s="9" t="s">
        <v>20</v>
      </c>
      <c r="D23" s="25" t="s">
        <v>10</v>
      </c>
      <c r="E23" s="44" t="s">
        <v>96</v>
      </c>
      <c r="F23" s="78">
        <f>+F13</f>
        <v>0.09889</v>
      </c>
      <c r="G23" s="67">
        <f t="shared" si="0"/>
        <v>0.0054389500000000006</v>
      </c>
      <c r="H23" s="67">
        <f t="shared" si="2"/>
        <v>0.004618163</v>
      </c>
      <c r="I23" s="67">
        <f t="shared" si="3"/>
        <v>0.108947113</v>
      </c>
      <c r="J23" s="68">
        <f>+I23*1.3834</f>
        <v>0.1507174361242</v>
      </c>
      <c r="K23" s="39"/>
      <c r="L23" s="2"/>
      <c r="R23" s="48"/>
    </row>
    <row r="24" spans="2:18" ht="12.75">
      <c r="B24" s="13"/>
      <c r="C24" s="9" t="s">
        <v>21</v>
      </c>
      <c r="D24" s="25" t="s">
        <v>108</v>
      </c>
      <c r="E24" s="44" t="s">
        <v>96</v>
      </c>
      <c r="F24" s="78">
        <f>+F14</f>
        <v>0.12824000000000002</v>
      </c>
      <c r="G24" s="67">
        <f t="shared" si="0"/>
        <v>0.007053200000000001</v>
      </c>
      <c r="H24" s="67">
        <f t="shared" si="2"/>
        <v>0.005988808000000001</v>
      </c>
      <c r="I24" s="67">
        <f t="shared" si="3"/>
        <v>0.14128200800000004</v>
      </c>
      <c r="J24" s="68">
        <f>+I24*1.3834</f>
        <v>0.19544952986720004</v>
      </c>
      <c r="K24" s="39"/>
      <c r="L24" s="2"/>
      <c r="R24" s="48"/>
    </row>
    <row r="25" spans="2:18" ht="12.75">
      <c r="B25" s="13"/>
      <c r="C25" s="9"/>
      <c r="D25" s="25" t="s">
        <v>108</v>
      </c>
      <c r="E25" s="44" t="s">
        <v>96</v>
      </c>
      <c r="F25" s="78">
        <f>+F15</f>
        <v>0.198132</v>
      </c>
      <c r="G25" s="67">
        <f t="shared" si="0"/>
        <v>0.01089726</v>
      </c>
      <c r="H25" s="67">
        <f t="shared" si="2"/>
        <v>0.0092527644</v>
      </c>
      <c r="I25" s="67">
        <f t="shared" si="3"/>
        <v>0.2182820244</v>
      </c>
      <c r="J25" s="68">
        <f>+I25*1.3834</f>
        <v>0.30197135255496</v>
      </c>
      <c r="K25" s="39"/>
      <c r="L25" s="2"/>
      <c r="R25" s="48"/>
    </row>
    <row r="26" spans="2:18" ht="12.75">
      <c r="B26" s="31"/>
      <c r="C26" s="30"/>
      <c r="D26" s="26" t="s">
        <v>12</v>
      </c>
      <c r="E26" s="47" t="s">
        <v>96</v>
      </c>
      <c r="F26" s="77">
        <f>+F16</f>
        <v>0.221486</v>
      </c>
      <c r="G26" s="69">
        <f t="shared" si="0"/>
        <v>0.01218173</v>
      </c>
      <c r="H26" s="69">
        <f>+F26*0.0467</f>
        <v>0.010343396199999999</v>
      </c>
      <c r="I26" s="69">
        <f>+F26+G26+H26</f>
        <v>0.24401112619999998</v>
      </c>
      <c r="J26" s="70">
        <f>+I26*1.3834</f>
        <v>0.33756499198507994</v>
      </c>
      <c r="K26" s="39"/>
      <c r="L26" s="2"/>
      <c r="R26" s="48"/>
    </row>
    <row r="27" spans="2:18" ht="12.75">
      <c r="B27" s="12" t="s">
        <v>5</v>
      </c>
      <c r="C27" s="9" t="s">
        <v>6</v>
      </c>
      <c r="D27" s="25" t="s">
        <v>69</v>
      </c>
      <c r="E27" s="44" t="s">
        <v>94</v>
      </c>
      <c r="F27" s="78">
        <v>10.28812</v>
      </c>
      <c r="G27" s="67">
        <f>+F27*0.055</f>
        <v>0.5658466</v>
      </c>
      <c r="H27" s="67">
        <f t="shared" si="2"/>
        <v>0.48045520399999997</v>
      </c>
      <c r="I27" s="67">
        <f t="shared" si="3"/>
        <v>11.334421804</v>
      </c>
      <c r="J27" s="68">
        <f>+I27*1.3234</f>
        <v>14.999973815413599</v>
      </c>
      <c r="K27" s="39"/>
      <c r="L27" s="2"/>
      <c r="R27" s="48"/>
    </row>
    <row r="28" spans="2:18" ht="12.75">
      <c r="B28" s="12"/>
      <c r="C28" s="9" t="s">
        <v>71</v>
      </c>
      <c r="D28" s="25" t="s">
        <v>106</v>
      </c>
      <c r="E28" s="25"/>
      <c r="F28" s="78"/>
      <c r="G28" s="67"/>
      <c r="H28" s="67">
        <f t="shared" si="2"/>
        <v>0</v>
      </c>
      <c r="I28" s="67"/>
      <c r="J28" s="68"/>
      <c r="K28" s="39"/>
      <c r="L28" s="2"/>
      <c r="R28" s="48"/>
    </row>
    <row r="29" spans="2:18" ht="12.75">
      <c r="B29" s="14" t="s">
        <v>5</v>
      </c>
      <c r="C29" s="28" t="s">
        <v>6</v>
      </c>
      <c r="D29" s="27" t="s">
        <v>69</v>
      </c>
      <c r="E29" s="43" t="s">
        <v>94</v>
      </c>
      <c r="F29" s="76">
        <v>7.5563</v>
      </c>
      <c r="G29" s="71">
        <v>0</v>
      </c>
      <c r="H29" s="71">
        <v>0</v>
      </c>
      <c r="I29" s="71">
        <f>+F29+G29+H29</f>
        <v>7.5563</v>
      </c>
      <c r="J29" s="72">
        <f>+I29*1.3234</f>
        <v>10.00000742</v>
      </c>
      <c r="K29" s="39"/>
      <c r="L29" s="2"/>
      <c r="R29" s="48"/>
    </row>
    <row r="30" spans="2:18" ht="12.75">
      <c r="B30" s="12"/>
      <c r="C30" s="9" t="s">
        <v>71</v>
      </c>
      <c r="D30" s="25" t="s">
        <v>107</v>
      </c>
      <c r="E30" s="25"/>
      <c r="F30" s="78"/>
      <c r="G30" s="69"/>
      <c r="H30" s="67">
        <f>+F30*0.0467</f>
        <v>0</v>
      </c>
      <c r="I30" s="69"/>
      <c r="J30" s="68"/>
      <c r="K30" s="39"/>
      <c r="L30" s="2"/>
      <c r="R30" s="48"/>
    </row>
    <row r="31" spans="2:18" ht="12.75">
      <c r="B31" s="14"/>
      <c r="C31" s="28" t="s">
        <v>6</v>
      </c>
      <c r="D31" s="27" t="s">
        <v>7</v>
      </c>
      <c r="E31" s="43" t="s">
        <v>94</v>
      </c>
      <c r="F31" s="76">
        <f>+F12/2</f>
        <v>4.183025000000001</v>
      </c>
      <c r="G31" s="71">
        <f>+F31*0.055</f>
        <v>0.23006637500000005</v>
      </c>
      <c r="H31" s="71">
        <f>+F31*0.0467</f>
        <v>0.19534726750000003</v>
      </c>
      <c r="I31" s="71">
        <f>+F31+G31+H31</f>
        <v>4.6084386425</v>
      </c>
      <c r="J31" s="72">
        <f aca="true" t="shared" si="4" ref="J31:J36">+I31*1.3234</f>
        <v>6.0988076994845</v>
      </c>
      <c r="K31" s="39"/>
      <c r="L31" s="2"/>
      <c r="R31" s="48"/>
    </row>
    <row r="32" spans="2:18" ht="12.75">
      <c r="B32" s="21" t="s">
        <v>22</v>
      </c>
      <c r="C32" s="9" t="s">
        <v>101</v>
      </c>
      <c r="D32" s="25" t="s">
        <v>18</v>
      </c>
      <c r="E32" s="44" t="s">
        <v>96</v>
      </c>
      <c r="F32" s="78">
        <f>+F13/2</f>
        <v>0.049445</v>
      </c>
      <c r="G32" s="67">
        <f>+F32*0.055</f>
        <v>0.0027194750000000003</v>
      </c>
      <c r="H32" s="67">
        <f>+F32*0.0467</f>
        <v>0.0023090815</v>
      </c>
      <c r="I32" s="67">
        <f>+F32+G32+H32</f>
        <v>0.0544735565</v>
      </c>
      <c r="J32" s="68">
        <f t="shared" si="4"/>
        <v>0.0720903046721</v>
      </c>
      <c r="K32" s="39"/>
      <c r="L32" s="2"/>
      <c r="R32" s="48"/>
    </row>
    <row r="33" spans="2:18" ht="12.75">
      <c r="B33" s="13"/>
      <c r="C33" s="9"/>
      <c r="D33" s="25" t="s">
        <v>102</v>
      </c>
      <c r="E33" s="44" t="s">
        <v>96</v>
      </c>
      <c r="F33" s="78">
        <f>+(F14/2)</f>
        <v>0.06412000000000001</v>
      </c>
      <c r="G33" s="67">
        <f>+F33*0.055</f>
        <v>0.0035266000000000004</v>
      </c>
      <c r="H33" s="67">
        <f>+F33*0.0467</f>
        <v>0.0029944040000000004</v>
      </c>
      <c r="I33" s="67">
        <f>+F33+G33+H33</f>
        <v>0.07064100400000002</v>
      </c>
      <c r="J33" s="68">
        <f t="shared" si="4"/>
        <v>0.09348630469360002</v>
      </c>
      <c r="K33" s="39"/>
      <c r="L33" s="2"/>
      <c r="R33" s="48"/>
    </row>
    <row r="34" spans="2:18" ht="12.75">
      <c r="B34" s="31"/>
      <c r="C34" s="30"/>
      <c r="D34" s="26" t="s">
        <v>103</v>
      </c>
      <c r="E34" s="44" t="s">
        <v>96</v>
      </c>
      <c r="F34" s="77">
        <f>+F15</f>
        <v>0.198132</v>
      </c>
      <c r="G34" s="69">
        <f>+F34*0.055</f>
        <v>0.01089726</v>
      </c>
      <c r="H34" s="69">
        <f>+F34*0.0467</f>
        <v>0.0092527644</v>
      </c>
      <c r="I34" s="69">
        <f>+F34+G34+H34</f>
        <v>0.2182820244</v>
      </c>
      <c r="J34" s="70">
        <f t="shared" si="4"/>
        <v>0.28887443109095995</v>
      </c>
      <c r="K34" s="39"/>
      <c r="L34" s="2"/>
      <c r="R34" s="48"/>
    </row>
    <row r="35" spans="2:18" ht="12.75">
      <c r="B35" s="14" t="s">
        <v>22</v>
      </c>
      <c r="C35" s="28" t="s">
        <v>6</v>
      </c>
      <c r="D35" s="27" t="s">
        <v>7</v>
      </c>
      <c r="E35" s="43" t="s">
        <v>94</v>
      </c>
      <c r="F35" s="76">
        <f>+F12</f>
        <v>8.366050000000001</v>
      </c>
      <c r="G35" s="71">
        <f aca="true" t="shared" si="5" ref="G35:G57">+F35*0.055</f>
        <v>0.4601327500000001</v>
      </c>
      <c r="H35" s="71">
        <f t="shared" si="2"/>
        <v>0.39069453500000006</v>
      </c>
      <c r="I35" s="71">
        <f t="shared" si="3"/>
        <v>9.216877285</v>
      </c>
      <c r="J35" s="68">
        <f t="shared" si="4"/>
        <v>12.197615398969</v>
      </c>
      <c r="K35" s="39"/>
      <c r="L35" s="2"/>
      <c r="R35" s="48"/>
    </row>
    <row r="36" spans="2:18" ht="12.75">
      <c r="B36" s="29"/>
      <c r="C36" s="30" t="s">
        <v>23</v>
      </c>
      <c r="D36" s="26" t="s">
        <v>24</v>
      </c>
      <c r="E36" s="44" t="s">
        <v>96</v>
      </c>
      <c r="F36" s="77">
        <f>0.1365*1.127</f>
        <v>0.15383550000000001</v>
      </c>
      <c r="G36" s="69">
        <f t="shared" si="5"/>
        <v>0.0084609525</v>
      </c>
      <c r="H36" s="69">
        <f t="shared" si="2"/>
        <v>0.00718411785</v>
      </c>
      <c r="I36" s="69">
        <f t="shared" si="3"/>
        <v>0.16948057035000003</v>
      </c>
      <c r="J36" s="70">
        <f t="shared" si="4"/>
        <v>0.22429058680119002</v>
      </c>
      <c r="K36" s="39"/>
      <c r="L36" s="2"/>
      <c r="R36" s="48"/>
    </row>
    <row r="37" spans="2:18" ht="12.75">
      <c r="B37" s="12"/>
      <c r="C37" s="9" t="s">
        <v>28</v>
      </c>
      <c r="D37" s="27" t="s">
        <v>7</v>
      </c>
      <c r="E37" s="43" t="s">
        <v>94</v>
      </c>
      <c r="F37" s="76">
        <f>13.5046*1.18</f>
        <v>15.935428</v>
      </c>
      <c r="G37" s="71">
        <f t="shared" si="5"/>
        <v>0.87644854</v>
      </c>
      <c r="H37" s="67">
        <f t="shared" si="2"/>
        <v>0.7441844876</v>
      </c>
      <c r="I37" s="71">
        <f t="shared" si="3"/>
        <v>17.5560610276</v>
      </c>
      <c r="J37" s="72">
        <f aca="true" t="shared" si="6" ref="J37:J42">+I37*1.3834</f>
        <v>24.287054825581837</v>
      </c>
      <c r="K37" s="39"/>
      <c r="L37" s="2"/>
      <c r="R37" s="48"/>
    </row>
    <row r="38" spans="2:18" ht="12.75">
      <c r="B38" s="21" t="s">
        <v>85</v>
      </c>
      <c r="C38" s="9" t="s">
        <v>29</v>
      </c>
      <c r="D38" s="25" t="s">
        <v>109</v>
      </c>
      <c r="E38" s="44" t="s">
        <v>96</v>
      </c>
      <c r="F38" s="78">
        <f>0.1761*1.18</f>
        <v>0.207798</v>
      </c>
      <c r="G38" s="67">
        <f t="shared" si="5"/>
        <v>0.01142889</v>
      </c>
      <c r="H38" s="67">
        <f t="shared" si="2"/>
        <v>0.0097041666</v>
      </c>
      <c r="I38" s="67">
        <f t="shared" si="3"/>
        <v>0.22893105660000002</v>
      </c>
      <c r="J38" s="68">
        <f t="shared" si="6"/>
        <v>0.31670322370044</v>
      </c>
      <c r="K38" s="39"/>
      <c r="L38" s="2"/>
      <c r="R38" s="48"/>
    </row>
    <row r="39" spans="2:18" ht="12.75">
      <c r="B39" s="12"/>
      <c r="C39" s="9" t="s">
        <v>31</v>
      </c>
      <c r="D39" s="25" t="s">
        <v>12</v>
      </c>
      <c r="E39" s="44" t="s">
        <v>96</v>
      </c>
      <c r="F39" s="78">
        <f>0.1903*1.18</f>
        <v>0.22455399999999998</v>
      </c>
      <c r="G39" s="67">
        <f t="shared" si="5"/>
        <v>0.012350469999999999</v>
      </c>
      <c r="H39" s="67">
        <f t="shared" si="2"/>
        <v>0.010486671799999998</v>
      </c>
      <c r="I39" s="67">
        <f t="shared" si="3"/>
        <v>0.24739114179999996</v>
      </c>
      <c r="J39" s="68">
        <f t="shared" si="6"/>
        <v>0.34224090556611997</v>
      </c>
      <c r="K39" s="39"/>
      <c r="L39" s="2"/>
      <c r="R39" s="48"/>
    </row>
    <row r="40" spans="2:18" ht="12.75">
      <c r="B40" s="12"/>
      <c r="C40" s="9" t="s">
        <v>32</v>
      </c>
      <c r="D40" s="26"/>
      <c r="E40" s="44"/>
      <c r="F40" s="77"/>
      <c r="G40" s="69"/>
      <c r="H40" s="67"/>
      <c r="I40" s="69"/>
      <c r="J40" s="70"/>
      <c r="K40" s="39"/>
      <c r="L40" s="2"/>
      <c r="R40" s="48"/>
    </row>
    <row r="41" spans="2:18" ht="12.75">
      <c r="B41" s="14" t="s">
        <v>85</v>
      </c>
      <c r="C41" s="28" t="s">
        <v>28</v>
      </c>
      <c r="D41" s="27" t="s">
        <v>7</v>
      </c>
      <c r="E41" s="43" t="s">
        <v>94</v>
      </c>
      <c r="F41" s="76">
        <f>+F37</f>
        <v>15.935428</v>
      </c>
      <c r="G41" s="71">
        <f t="shared" si="5"/>
        <v>0.87644854</v>
      </c>
      <c r="H41" s="71">
        <f t="shared" si="2"/>
        <v>0.7441844876</v>
      </c>
      <c r="I41" s="71">
        <f t="shared" si="3"/>
        <v>17.5560610276</v>
      </c>
      <c r="J41" s="72">
        <f t="shared" si="6"/>
        <v>24.287054825581837</v>
      </c>
      <c r="K41" s="39"/>
      <c r="L41" s="2"/>
      <c r="R41" s="48"/>
    </row>
    <row r="42" spans="2:18" ht="12.75">
      <c r="B42" s="29"/>
      <c r="C42" s="30" t="s">
        <v>23</v>
      </c>
      <c r="D42" s="26" t="s">
        <v>24</v>
      </c>
      <c r="E42" s="44" t="s">
        <v>96</v>
      </c>
      <c r="F42" s="77">
        <f>+F38</f>
        <v>0.207798</v>
      </c>
      <c r="G42" s="69">
        <f t="shared" si="5"/>
        <v>0.01142889</v>
      </c>
      <c r="H42" s="69">
        <f t="shared" si="2"/>
        <v>0.0097041666</v>
      </c>
      <c r="I42" s="69">
        <f t="shared" si="3"/>
        <v>0.22893105660000002</v>
      </c>
      <c r="J42" s="70">
        <f t="shared" si="6"/>
        <v>0.31670322370044</v>
      </c>
      <c r="K42" s="39"/>
      <c r="L42" s="2"/>
      <c r="R42" s="48"/>
    </row>
    <row r="43" spans="2:18" ht="12.75">
      <c r="B43" s="15"/>
      <c r="C43" s="9" t="s">
        <v>34</v>
      </c>
      <c r="D43" s="27" t="s">
        <v>7</v>
      </c>
      <c r="E43" s="43" t="s">
        <v>94</v>
      </c>
      <c r="F43" s="76">
        <f>13.5046*1.18</f>
        <v>15.935428</v>
      </c>
      <c r="G43" s="71">
        <f t="shared" si="5"/>
        <v>0.87644854</v>
      </c>
      <c r="H43" s="67">
        <f t="shared" si="2"/>
        <v>0.7441844876</v>
      </c>
      <c r="I43" s="71">
        <f t="shared" si="3"/>
        <v>17.5560610276</v>
      </c>
      <c r="J43" s="72">
        <f>+I43*1.276</f>
        <v>22.401533871217598</v>
      </c>
      <c r="K43" s="39"/>
      <c r="L43" s="2"/>
      <c r="R43" s="48"/>
    </row>
    <row r="44" spans="2:18" ht="12.75">
      <c r="B44" s="12" t="s">
        <v>33</v>
      </c>
      <c r="C44" s="9" t="s">
        <v>35</v>
      </c>
      <c r="D44" s="25" t="s">
        <v>83</v>
      </c>
      <c r="E44" s="44" t="s">
        <v>96</v>
      </c>
      <c r="F44" s="78">
        <f>0.1768*1.18</f>
        <v>0.208624</v>
      </c>
      <c r="G44" s="67">
        <f t="shared" si="5"/>
        <v>0.01147432</v>
      </c>
      <c r="H44" s="67">
        <f t="shared" si="2"/>
        <v>0.0097427408</v>
      </c>
      <c r="I44" s="67">
        <f t="shared" si="3"/>
        <v>0.22984106080000002</v>
      </c>
      <c r="J44" s="68">
        <f>+I44*1.276</f>
        <v>0.2932771935808</v>
      </c>
      <c r="K44" s="39"/>
      <c r="L44" s="2"/>
      <c r="R44" s="48"/>
    </row>
    <row r="45" spans="2:18" ht="12.75">
      <c r="B45" s="13"/>
      <c r="C45" s="9" t="s">
        <v>27</v>
      </c>
      <c r="D45" s="25" t="s">
        <v>84</v>
      </c>
      <c r="E45" s="44" t="s">
        <v>96</v>
      </c>
      <c r="F45" s="78">
        <f>0.1768*1.18</f>
        <v>0.208624</v>
      </c>
      <c r="G45" s="67">
        <f t="shared" si="5"/>
        <v>0.01147432</v>
      </c>
      <c r="H45" s="67">
        <f t="shared" si="2"/>
        <v>0.0097427408</v>
      </c>
      <c r="I45" s="67">
        <f t="shared" si="3"/>
        <v>0.22984106080000002</v>
      </c>
      <c r="J45" s="68">
        <f>+I45*1.276</f>
        <v>0.2932771935808</v>
      </c>
      <c r="K45" s="39"/>
      <c r="L45" s="2"/>
      <c r="R45" s="48"/>
    </row>
    <row r="46" spans="2:18" ht="12.75">
      <c r="B46" s="13"/>
      <c r="C46" s="9"/>
      <c r="D46" s="26" t="s">
        <v>12</v>
      </c>
      <c r="E46" s="44" t="s">
        <v>96</v>
      </c>
      <c r="F46" s="77">
        <f>0.195*1.18</f>
        <v>0.2301</v>
      </c>
      <c r="G46" s="69">
        <f t="shared" si="5"/>
        <v>0.0126555</v>
      </c>
      <c r="H46" s="67">
        <f t="shared" si="2"/>
        <v>0.010745669999999999</v>
      </c>
      <c r="I46" s="69">
        <f t="shared" si="3"/>
        <v>0.25350117</v>
      </c>
      <c r="J46" s="70">
        <f>+I46*1.276</f>
        <v>0.32346749292</v>
      </c>
      <c r="K46" s="39"/>
      <c r="L46" s="2"/>
      <c r="R46" s="48"/>
    </row>
    <row r="47" spans="2:18" ht="12.75">
      <c r="B47" s="14" t="s">
        <v>36</v>
      </c>
      <c r="C47" s="28" t="s">
        <v>88</v>
      </c>
      <c r="D47" s="27" t="s">
        <v>37</v>
      </c>
      <c r="E47" s="43" t="s">
        <v>94</v>
      </c>
      <c r="F47" s="76">
        <f>5.1064*1.1</f>
        <v>5.61704</v>
      </c>
      <c r="G47" s="71">
        <f t="shared" si="5"/>
        <v>0.3089372</v>
      </c>
      <c r="H47" s="71">
        <f t="shared" si="2"/>
        <v>0.262315768</v>
      </c>
      <c r="I47" s="71">
        <f t="shared" si="3"/>
        <v>6.188292968</v>
      </c>
      <c r="J47" s="72">
        <f aca="true" t="shared" si="7" ref="J47:J55">+I47*1.3234</f>
        <v>8.1895869138512</v>
      </c>
      <c r="K47" s="39"/>
      <c r="L47" s="2"/>
      <c r="R47" s="48"/>
    </row>
    <row r="48" spans="2:18" ht="12.75">
      <c r="B48" s="29"/>
      <c r="C48" s="30" t="s">
        <v>119</v>
      </c>
      <c r="D48" s="26" t="s">
        <v>38</v>
      </c>
      <c r="E48" s="44" t="s">
        <v>96</v>
      </c>
      <c r="F48" s="77">
        <f>0.1394*1.1</f>
        <v>0.15334</v>
      </c>
      <c r="G48" s="69">
        <f t="shared" si="5"/>
        <v>0.0084337</v>
      </c>
      <c r="H48" s="69">
        <f t="shared" si="2"/>
        <v>0.007160978</v>
      </c>
      <c r="I48" s="69">
        <f t="shared" si="3"/>
        <v>0.168934678</v>
      </c>
      <c r="J48" s="70">
        <f t="shared" si="7"/>
        <v>0.2235681528652</v>
      </c>
      <c r="K48" s="39"/>
      <c r="L48" s="2"/>
      <c r="R48" s="48"/>
    </row>
    <row r="49" spans="2:18" ht="12.75">
      <c r="B49" s="12"/>
      <c r="C49" s="28" t="s">
        <v>88</v>
      </c>
      <c r="D49" s="27" t="s">
        <v>37</v>
      </c>
      <c r="E49" s="43" t="s">
        <v>94</v>
      </c>
      <c r="F49" s="76">
        <v>5.1064</v>
      </c>
      <c r="G49" s="71">
        <f t="shared" si="5"/>
        <v>0.280852</v>
      </c>
      <c r="H49" s="71">
        <f>+F49*0.0467</f>
        <v>0.23846888</v>
      </c>
      <c r="I49" s="71">
        <f>+F49+G49+H49</f>
        <v>5.62572088</v>
      </c>
      <c r="J49" s="72">
        <f t="shared" si="7"/>
        <v>7.445079012592</v>
      </c>
      <c r="K49" s="39"/>
      <c r="L49" s="2"/>
      <c r="R49" s="48"/>
    </row>
    <row r="50" spans="2:18" ht="12.75">
      <c r="B50" s="12"/>
      <c r="C50" s="30" t="s">
        <v>120</v>
      </c>
      <c r="D50" s="26" t="s">
        <v>38</v>
      </c>
      <c r="E50" s="44" t="s">
        <v>96</v>
      </c>
      <c r="F50" s="77">
        <v>0.1394</v>
      </c>
      <c r="G50" s="69">
        <f t="shared" si="5"/>
        <v>0.007667</v>
      </c>
      <c r="H50" s="69">
        <f>+F50*0.0467</f>
        <v>0.006509979999999999</v>
      </c>
      <c r="I50" s="69">
        <f>+F50+G50+H50</f>
        <v>0.15357698</v>
      </c>
      <c r="J50" s="70">
        <f t="shared" si="7"/>
        <v>0.203243775332</v>
      </c>
      <c r="K50" s="39"/>
      <c r="L50" s="2"/>
      <c r="R50" s="48"/>
    </row>
    <row r="51" spans="2:18" ht="12.75">
      <c r="B51" s="14" t="s">
        <v>36</v>
      </c>
      <c r="C51" s="9" t="s">
        <v>87</v>
      </c>
      <c r="D51" s="27" t="s">
        <v>39</v>
      </c>
      <c r="E51" s="43" t="s">
        <v>94</v>
      </c>
      <c r="F51" s="76">
        <f>5.1064*1.1</f>
        <v>5.61704</v>
      </c>
      <c r="G51" s="71">
        <f t="shared" si="5"/>
        <v>0.3089372</v>
      </c>
      <c r="H51" s="67">
        <f t="shared" si="2"/>
        <v>0.262315768</v>
      </c>
      <c r="I51" s="71">
        <f t="shared" si="3"/>
        <v>6.188292968</v>
      </c>
      <c r="J51" s="72">
        <f t="shared" si="7"/>
        <v>8.1895869138512</v>
      </c>
      <c r="K51" s="39"/>
      <c r="L51" s="2"/>
      <c r="R51" s="48"/>
    </row>
    <row r="52" spans="2:18" ht="12.75">
      <c r="B52" s="12"/>
      <c r="C52" s="26" t="s">
        <v>15</v>
      </c>
      <c r="D52" s="26" t="s">
        <v>40</v>
      </c>
      <c r="E52" s="44" t="s">
        <v>96</v>
      </c>
      <c r="F52" s="77">
        <f>0.074*1.1</f>
        <v>0.0814</v>
      </c>
      <c r="G52" s="69">
        <f t="shared" si="5"/>
        <v>0.004477</v>
      </c>
      <c r="H52" s="69">
        <f t="shared" si="2"/>
        <v>0.00380138</v>
      </c>
      <c r="I52" s="69">
        <f t="shared" si="3"/>
        <v>0.08967838</v>
      </c>
      <c r="J52" s="70">
        <f t="shared" si="7"/>
        <v>0.118680368092</v>
      </c>
      <c r="K52" s="39"/>
      <c r="L52" s="2"/>
      <c r="R52" s="48"/>
    </row>
    <row r="53" spans="2:18" ht="12.75">
      <c r="B53" s="84" t="s">
        <v>36</v>
      </c>
      <c r="C53" s="85" t="s">
        <v>131</v>
      </c>
      <c r="D53" s="86" t="s">
        <v>39</v>
      </c>
      <c r="E53" s="87" t="s">
        <v>94</v>
      </c>
      <c r="F53" s="76">
        <f>5.1064*1.1</f>
        <v>5.61704</v>
      </c>
      <c r="G53" s="76">
        <f t="shared" si="5"/>
        <v>0.3089372</v>
      </c>
      <c r="H53" s="78">
        <f>+F53*0.0467</f>
        <v>0.262315768</v>
      </c>
      <c r="I53" s="76">
        <f>+F53+G53+H53</f>
        <v>6.188292968</v>
      </c>
      <c r="J53" s="79">
        <f t="shared" si="7"/>
        <v>8.1895869138512</v>
      </c>
      <c r="K53" s="39"/>
      <c r="L53" s="2"/>
      <c r="R53" s="48"/>
    </row>
    <row r="54" spans="2:18" ht="12.75">
      <c r="B54" s="88"/>
      <c r="C54" s="85"/>
      <c r="D54" s="89" t="s">
        <v>132</v>
      </c>
      <c r="E54" s="90" t="s">
        <v>96</v>
      </c>
      <c r="F54" s="78">
        <f>0.11849*1.1</f>
        <v>0.130339</v>
      </c>
      <c r="G54" s="78">
        <f t="shared" si="5"/>
        <v>0.007168645</v>
      </c>
      <c r="H54" s="78">
        <f>+F54*0.0467</f>
        <v>0.0060868313000000005</v>
      </c>
      <c r="I54" s="78">
        <f>+F54+G54+H54</f>
        <v>0.14359447630000002</v>
      </c>
      <c r="J54" s="80">
        <f t="shared" si="7"/>
        <v>0.19003292993542</v>
      </c>
      <c r="K54" s="39"/>
      <c r="L54" s="2"/>
      <c r="R54" s="48"/>
    </row>
    <row r="55" spans="2:18" ht="12.75">
      <c r="B55" s="88"/>
      <c r="C55" s="85"/>
      <c r="D55" s="91" t="s">
        <v>12</v>
      </c>
      <c r="E55" s="90" t="s">
        <v>96</v>
      </c>
      <c r="F55" s="78">
        <f>0.1394*1.1</f>
        <v>0.15334</v>
      </c>
      <c r="G55" s="78">
        <f t="shared" si="5"/>
        <v>0.0084337</v>
      </c>
      <c r="H55" s="78">
        <f>+F55*0.0467</f>
        <v>0.007160978</v>
      </c>
      <c r="I55" s="77">
        <f>+F55+G55+H55</f>
        <v>0.168934678</v>
      </c>
      <c r="J55" s="80">
        <f t="shared" si="7"/>
        <v>0.2235681528652</v>
      </c>
      <c r="K55" s="39"/>
      <c r="L55" s="2"/>
      <c r="R55" s="48"/>
    </row>
    <row r="56" spans="2:18" ht="12.75">
      <c r="B56" s="14" t="s">
        <v>36</v>
      </c>
      <c r="C56" s="28" t="s">
        <v>41</v>
      </c>
      <c r="D56" s="27" t="s">
        <v>43</v>
      </c>
      <c r="E56" s="43" t="s">
        <v>94</v>
      </c>
      <c r="F56" s="76">
        <v>5.2243</v>
      </c>
      <c r="G56" s="71">
        <f t="shared" si="5"/>
        <v>0.28733650000000005</v>
      </c>
      <c r="H56" s="71">
        <f t="shared" si="2"/>
        <v>0.24397481000000001</v>
      </c>
      <c r="I56" s="71">
        <f t="shared" si="3"/>
        <v>5.755611310000001</v>
      </c>
      <c r="J56" s="72">
        <f aca="true" t="shared" si="8" ref="J56:J72">+I56*1.3834</f>
        <v>7.962312686254001</v>
      </c>
      <c r="K56" s="39"/>
      <c r="L56" s="2"/>
      <c r="R56" s="48"/>
    </row>
    <row r="57" spans="2:18" ht="12.75">
      <c r="B57" s="31"/>
      <c r="C57" s="30" t="s">
        <v>86</v>
      </c>
      <c r="D57" s="26" t="s">
        <v>26</v>
      </c>
      <c r="E57" s="47" t="s">
        <v>96</v>
      </c>
      <c r="F57" s="77">
        <v>0.1024</v>
      </c>
      <c r="G57" s="69">
        <f t="shared" si="5"/>
        <v>0.005632000000000001</v>
      </c>
      <c r="H57" s="69">
        <f t="shared" si="2"/>
        <v>0.00478208</v>
      </c>
      <c r="I57" s="69">
        <f t="shared" si="3"/>
        <v>0.11281408</v>
      </c>
      <c r="J57" s="70">
        <f t="shared" si="8"/>
        <v>0.156066998272</v>
      </c>
      <c r="K57" s="39"/>
      <c r="L57" s="2"/>
      <c r="R57" s="48"/>
    </row>
    <row r="58" spans="2:18" ht="12.75">
      <c r="B58" s="15"/>
      <c r="C58" s="25" t="s">
        <v>81</v>
      </c>
      <c r="D58" s="25" t="s">
        <v>45</v>
      </c>
      <c r="E58" s="44" t="s">
        <v>95</v>
      </c>
      <c r="F58" s="78">
        <f>12.1215*1.2</f>
        <v>14.545799999999998</v>
      </c>
      <c r="G58" s="67">
        <f aca="true" t="shared" si="9" ref="G58:G72">+F58*0.055</f>
        <v>0.8000189999999999</v>
      </c>
      <c r="H58" s="67">
        <f aca="true" t="shared" si="10" ref="H58:H72">+F58*0.0467</f>
        <v>0.6792888599999999</v>
      </c>
      <c r="I58" s="67">
        <f aca="true" t="shared" si="11" ref="I58:I72">+F58+G58+H58</f>
        <v>16.02510786</v>
      </c>
      <c r="J58" s="68">
        <f t="shared" si="8"/>
        <v>22.169134213523996</v>
      </c>
      <c r="K58" s="39"/>
      <c r="L58" s="2"/>
      <c r="R58" s="48"/>
    </row>
    <row r="59" spans="2:18" ht="12.75">
      <c r="B59" s="15"/>
      <c r="C59" s="9" t="s">
        <v>118</v>
      </c>
      <c r="D59" s="25" t="s">
        <v>46</v>
      </c>
      <c r="E59" s="44" t="s">
        <v>96</v>
      </c>
      <c r="F59" s="78">
        <f>0.1229*1.2</f>
        <v>0.14748</v>
      </c>
      <c r="G59" s="67">
        <f t="shared" si="9"/>
        <v>0.0081114</v>
      </c>
      <c r="H59" s="67">
        <f t="shared" si="10"/>
        <v>0.006887316</v>
      </c>
      <c r="I59" s="67">
        <f t="shared" si="11"/>
        <v>0.162478716</v>
      </c>
      <c r="J59" s="68">
        <f t="shared" si="8"/>
        <v>0.22477305571439998</v>
      </c>
      <c r="K59" s="39"/>
      <c r="L59" s="2"/>
      <c r="R59" s="48"/>
    </row>
    <row r="60" spans="2:18" ht="12.75">
      <c r="B60" s="12" t="s">
        <v>72</v>
      </c>
      <c r="C60" s="9" t="s">
        <v>47</v>
      </c>
      <c r="D60" s="25" t="s">
        <v>48</v>
      </c>
      <c r="E60" s="44" t="s">
        <v>96</v>
      </c>
      <c r="F60" s="78">
        <f>0.1018*1.2</f>
        <v>0.12215999999999999</v>
      </c>
      <c r="G60" s="67">
        <f t="shared" si="9"/>
        <v>0.0067188</v>
      </c>
      <c r="H60" s="67">
        <f t="shared" si="10"/>
        <v>0.005704872</v>
      </c>
      <c r="I60" s="67">
        <f t="shared" si="11"/>
        <v>0.134583672</v>
      </c>
      <c r="J60" s="68">
        <f t="shared" si="8"/>
        <v>0.18618305184479997</v>
      </c>
      <c r="K60" s="39"/>
      <c r="L60" s="2"/>
      <c r="R60" s="48"/>
    </row>
    <row r="61" spans="2:18" ht="12.75">
      <c r="B61" s="13"/>
      <c r="C61" s="9" t="s">
        <v>30</v>
      </c>
      <c r="D61" s="25" t="s">
        <v>49</v>
      </c>
      <c r="E61" s="44" t="s">
        <v>96</v>
      </c>
      <c r="F61" s="78">
        <f>0.0852*1.2</f>
        <v>0.10224</v>
      </c>
      <c r="G61" s="67">
        <f t="shared" si="9"/>
        <v>0.0056232</v>
      </c>
      <c r="H61" s="67">
        <f t="shared" si="10"/>
        <v>0.004774608</v>
      </c>
      <c r="I61" s="67">
        <f t="shared" si="11"/>
        <v>0.11263780799999999</v>
      </c>
      <c r="J61" s="68">
        <f t="shared" si="8"/>
        <v>0.15582314358719998</v>
      </c>
      <c r="K61" s="39"/>
      <c r="L61" s="2"/>
      <c r="R61" s="48"/>
    </row>
    <row r="62" spans="2:18" ht="12.75">
      <c r="B62" s="13"/>
      <c r="C62" s="9"/>
      <c r="D62" s="26" t="s">
        <v>12</v>
      </c>
      <c r="E62" s="44" t="s">
        <v>96</v>
      </c>
      <c r="F62" s="77">
        <f>0.0614*1.2</f>
        <v>0.07368</v>
      </c>
      <c r="G62" s="69">
        <f t="shared" si="9"/>
        <v>0.004052399999999999</v>
      </c>
      <c r="H62" s="67">
        <f t="shared" si="10"/>
        <v>0.0034408559999999995</v>
      </c>
      <c r="I62" s="69">
        <f t="shared" si="11"/>
        <v>0.081173256</v>
      </c>
      <c r="J62" s="70">
        <f t="shared" si="8"/>
        <v>0.11229508235039999</v>
      </c>
      <c r="K62" s="39"/>
      <c r="L62" s="2"/>
      <c r="R62" s="48"/>
    </row>
    <row r="63" spans="2:18" ht="12.75">
      <c r="B63" s="32"/>
      <c r="C63" s="27" t="s">
        <v>81</v>
      </c>
      <c r="D63" s="27" t="s">
        <v>45</v>
      </c>
      <c r="E63" s="43" t="s">
        <v>95</v>
      </c>
      <c r="F63" s="76">
        <v>12.1215</v>
      </c>
      <c r="G63" s="71">
        <f t="shared" si="9"/>
        <v>0.6666825</v>
      </c>
      <c r="H63" s="71">
        <f t="shared" si="10"/>
        <v>0.56607405</v>
      </c>
      <c r="I63" s="71">
        <f t="shared" si="11"/>
        <v>13.354256549999999</v>
      </c>
      <c r="J63" s="72">
        <f t="shared" si="8"/>
        <v>18.474278511269997</v>
      </c>
      <c r="K63" s="39"/>
      <c r="L63" s="2"/>
      <c r="R63" s="48"/>
    </row>
    <row r="64" spans="2:18" ht="12.75">
      <c r="B64" s="15"/>
      <c r="C64" s="9" t="s">
        <v>121</v>
      </c>
      <c r="D64" s="25" t="s">
        <v>46</v>
      </c>
      <c r="E64" s="44" t="s">
        <v>96</v>
      </c>
      <c r="F64" s="78">
        <v>0.1229</v>
      </c>
      <c r="G64" s="67">
        <f t="shared" si="9"/>
        <v>0.0067595</v>
      </c>
      <c r="H64" s="67">
        <f t="shared" si="10"/>
        <v>0.005739429999999999</v>
      </c>
      <c r="I64" s="67">
        <f t="shared" si="11"/>
        <v>0.13539892999999997</v>
      </c>
      <c r="J64" s="68">
        <f t="shared" si="8"/>
        <v>0.18731087976199995</v>
      </c>
      <c r="K64" s="39"/>
      <c r="L64" s="2"/>
      <c r="R64" s="48"/>
    </row>
    <row r="65" spans="2:18" ht="12.75">
      <c r="B65" s="12" t="s">
        <v>72</v>
      </c>
      <c r="C65" s="9" t="s">
        <v>47</v>
      </c>
      <c r="D65" s="25" t="s">
        <v>48</v>
      </c>
      <c r="E65" s="44" t="s">
        <v>96</v>
      </c>
      <c r="F65" s="78">
        <v>0.1018</v>
      </c>
      <c r="G65" s="67">
        <f t="shared" si="9"/>
        <v>0.005599</v>
      </c>
      <c r="H65" s="67">
        <f t="shared" si="10"/>
        <v>0.00475406</v>
      </c>
      <c r="I65" s="67">
        <f t="shared" si="11"/>
        <v>0.11215306</v>
      </c>
      <c r="J65" s="68">
        <f t="shared" si="8"/>
        <v>0.155152543204</v>
      </c>
      <c r="K65" s="39"/>
      <c r="L65" s="2"/>
      <c r="R65" s="48"/>
    </row>
    <row r="66" spans="2:18" ht="12.75">
      <c r="B66" s="13"/>
      <c r="C66" s="9" t="s">
        <v>30</v>
      </c>
      <c r="D66" s="25" t="s">
        <v>49</v>
      </c>
      <c r="E66" s="44" t="s">
        <v>96</v>
      </c>
      <c r="F66" s="78">
        <v>0.0852</v>
      </c>
      <c r="G66" s="67">
        <f t="shared" si="9"/>
        <v>0.004686</v>
      </c>
      <c r="H66" s="67">
        <f t="shared" si="10"/>
        <v>0.00397884</v>
      </c>
      <c r="I66" s="67">
        <f t="shared" si="11"/>
        <v>0.09386483999999999</v>
      </c>
      <c r="J66" s="68">
        <f t="shared" si="8"/>
        <v>0.12985261965599998</v>
      </c>
      <c r="K66" s="39"/>
      <c r="L66" s="2"/>
      <c r="R66" s="48"/>
    </row>
    <row r="67" spans="2:18" ht="12.75">
      <c r="B67" s="31"/>
      <c r="C67" s="30"/>
      <c r="D67" s="26" t="s">
        <v>12</v>
      </c>
      <c r="E67" s="47" t="s">
        <v>96</v>
      </c>
      <c r="F67" s="77">
        <v>0.0614</v>
      </c>
      <c r="G67" s="69">
        <f t="shared" si="9"/>
        <v>0.0033770000000000002</v>
      </c>
      <c r="H67" s="69">
        <f t="shared" si="10"/>
        <v>0.00286738</v>
      </c>
      <c r="I67" s="69">
        <f t="shared" si="11"/>
        <v>0.06764438</v>
      </c>
      <c r="J67" s="70">
        <f t="shared" si="8"/>
        <v>0.093579235292</v>
      </c>
      <c r="K67" s="39"/>
      <c r="L67" s="2"/>
      <c r="R67" s="48"/>
    </row>
    <row r="68" spans="2:18" ht="12.75">
      <c r="B68" s="15"/>
      <c r="C68" s="9" t="s">
        <v>81</v>
      </c>
      <c r="D68" s="25" t="s">
        <v>45</v>
      </c>
      <c r="E68" s="44" t="s">
        <v>95</v>
      </c>
      <c r="F68" s="78">
        <f>11.152*1.2</f>
        <v>13.382399999999999</v>
      </c>
      <c r="G68" s="67">
        <f t="shared" si="9"/>
        <v>0.7360319999999999</v>
      </c>
      <c r="H68" s="67">
        <f t="shared" si="10"/>
        <v>0.62495808</v>
      </c>
      <c r="I68" s="67">
        <f t="shared" si="11"/>
        <v>14.74339008</v>
      </c>
      <c r="J68" s="68">
        <f t="shared" si="8"/>
        <v>20.396005836672</v>
      </c>
      <c r="K68" s="39"/>
      <c r="L68" s="2"/>
      <c r="R68" s="48"/>
    </row>
    <row r="69" spans="2:18" ht="12.75">
      <c r="B69" s="12"/>
      <c r="C69" s="9" t="s">
        <v>118</v>
      </c>
      <c r="D69" s="25" t="s">
        <v>46</v>
      </c>
      <c r="E69" s="44" t="s">
        <v>96</v>
      </c>
      <c r="F69" s="78">
        <f>0.1131*1.2</f>
        <v>0.13572</v>
      </c>
      <c r="G69" s="67">
        <f t="shared" si="9"/>
        <v>0.0074646</v>
      </c>
      <c r="H69" s="67">
        <f t="shared" si="10"/>
        <v>0.0063381240000000005</v>
      </c>
      <c r="I69" s="67">
        <f t="shared" si="11"/>
        <v>0.149522724</v>
      </c>
      <c r="J69" s="68">
        <f t="shared" si="8"/>
        <v>0.20684973638159998</v>
      </c>
      <c r="K69" s="39"/>
      <c r="L69" s="2"/>
      <c r="R69" s="48"/>
    </row>
    <row r="70" spans="2:18" ht="12.75">
      <c r="B70" s="21" t="s">
        <v>72</v>
      </c>
      <c r="C70" s="9" t="s">
        <v>47</v>
      </c>
      <c r="D70" s="25" t="s">
        <v>48</v>
      </c>
      <c r="E70" s="44" t="s">
        <v>96</v>
      </c>
      <c r="F70" s="78">
        <f>0.094*1.2</f>
        <v>0.1128</v>
      </c>
      <c r="G70" s="67">
        <f t="shared" si="9"/>
        <v>0.006204</v>
      </c>
      <c r="H70" s="67">
        <f t="shared" si="10"/>
        <v>0.00526776</v>
      </c>
      <c r="I70" s="67">
        <f t="shared" si="11"/>
        <v>0.12427176</v>
      </c>
      <c r="J70" s="68">
        <f t="shared" si="8"/>
        <v>0.17191755278399998</v>
      </c>
      <c r="K70" s="39"/>
      <c r="L70" s="2"/>
      <c r="R70" s="48"/>
    </row>
    <row r="71" spans="2:18" ht="12.75">
      <c r="B71" s="13"/>
      <c r="C71" s="9" t="s">
        <v>50</v>
      </c>
      <c r="D71" s="25" t="s">
        <v>49</v>
      </c>
      <c r="E71" s="44" t="s">
        <v>96</v>
      </c>
      <c r="F71" s="78">
        <f>0.0784*1.2</f>
        <v>0.09408</v>
      </c>
      <c r="G71" s="67">
        <f t="shared" si="9"/>
        <v>0.0051744</v>
      </c>
      <c r="H71" s="67">
        <f t="shared" si="10"/>
        <v>0.004393536</v>
      </c>
      <c r="I71" s="67">
        <f t="shared" si="11"/>
        <v>0.103647936</v>
      </c>
      <c r="J71" s="68">
        <f t="shared" si="8"/>
        <v>0.1433865546624</v>
      </c>
      <c r="K71" s="39"/>
      <c r="L71" s="2"/>
      <c r="R71" s="48"/>
    </row>
    <row r="72" spans="2:18" ht="13.5" thickBot="1">
      <c r="B72" s="41"/>
      <c r="C72" s="19"/>
      <c r="D72" s="24" t="s">
        <v>12</v>
      </c>
      <c r="E72" s="46" t="s">
        <v>96</v>
      </c>
      <c r="F72" s="93">
        <f>0.0567*1.2</f>
        <v>0.06804</v>
      </c>
      <c r="G72" s="73">
        <f t="shared" si="9"/>
        <v>0.0037422</v>
      </c>
      <c r="H72" s="73">
        <f t="shared" si="10"/>
        <v>0.003177468</v>
      </c>
      <c r="I72" s="73">
        <f t="shared" si="11"/>
        <v>0.07495966800000001</v>
      </c>
      <c r="J72" s="74">
        <f t="shared" si="8"/>
        <v>0.1036992047112</v>
      </c>
      <c r="K72" s="39"/>
      <c r="L72" s="2"/>
      <c r="R72" s="48"/>
    </row>
    <row r="73" spans="2:18" ht="13.5" thickTop="1">
      <c r="B73" s="98"/>
      <c r="C73" s="3"/>
      <c r="D73" s="3"/>
      <c r="E73" s="52"/>
      <c r="F73" s="94"/>
      <c r="G73" s="53"/>
      <c r="H73" s="53"/>
      <c r="I73" s="53"/>
      <c r="J73" s="53"/>
      <c r="K73" s="39"/>
      <c r="L73" s="2"/>
      <c r="R73" s="48"/>
    </row>
    <row r="74" spans="2:18" ht="12.75">
      <c r="B74" s="3"/>
      <c r="C74" s="3"/>
      <c r="D74" s="3"/>
      <c r="E74" s="52"/>
      <c r="F74" s="94"/>
      <c r="G74" s="53"/>
      <c r="H74" s="53"/>
      <c r="I74" s="53"/>
      <c r="J74" s="53"/>
      <c r="K74" s="39"/>
      <c r="L74" s="2"/>
      <c r="R74" s="48"/>
    </row>
    <row r="75" spans="3:18" ht="12.75">
      <c r="C75" s="50" t="s">
        <v>77</v>
      </c>
      <c r="F75" s="94"/>
      <c r="G75" s="1" t="s">
        <v>127</v>
      </c>
      <c r="H75" s="1" t="str">
        <f>+H5</f>
        <v>8077/08</v>
      </c>
      <c r="J75" s="63" t="s">
        <v>124</v>
      </c>
      <c r="K75" s="54"/>
      <c r="L75" s="2"/>
      <c r="R75" s="48"/>
    </row>
    <row r="76" spans="3:18" ht="12.75">
      <c r="C76" s="50" t="s">
        <v>78</v>
      </c>
      <c r="F76" s="94"/>
      <c r="H76" s="56"/>
      <c r="J76" s="53"/>
      <c r="K76" s="54"/>
      <c r="L76" s="2"/>
      <c r="R76" s="48"/>
    </row>
    <row r="77" spans="3:18" ht="12.75">
      <c r="C77" s="2" t="s">
        <v>100</v>
      </c>
      <c r="F77" s="94"/>
      <c r="G77" s="49" t="s">
        <v>126</v>
      </c>
      <c r="H77" s="57"/>
      <c r="J77" s="75" t="s">
        <v>125</v>
      </c>
      <c r="K77" s="54"/>
      <c r="L77" s="2"/>
      <c r="R77" s="48"/>
    </row>
    <row r="78" spans="3:18" ht="13.5" thickBot="1">
      <c r="C78" s="1"/>
      <c r="F78" s="94"/>
      <c r="G78" s="53"/>
      <c r="H78" s="53"/>
      <c r="I78" s="53"/>
      <c r="J78" s="55"/>
      <c r="K78" s="54"/>
      <c r="L78" s="2"/>
      <c r="R78" s="48"/>
    </row>
    <row r="79" spans="2:18" ht="13.5" thickTop="1">
      <c r="B79" s="22" t="s">
        <v>74</v>
      </c>
      <c r="C79" s="17"/>
      <c r="D79" s="17"/>
      <c r="E79" s="17"/>
      <c r="F79" s="95" t="s">
        <v>0</v>
      </c>
      <c r="G79" s="23" t="s">
        <v>90</v>
      </c>
      <c r="H79" s="23" t="s">
        <v>97</v>
      </c>
      <c r="I79" s="22" t="s">
        <v>89</v>
      </c>
      <c r="J79" s="23" t="s">
        <v>0</v>
      </c>
      <c r="K79" s="39"/>
      <c r="L79" s="2"/>
      <c r="R79" s="48"/>
    </row>
    <row r="80" spans="2:18" ht="12.75">
      <c r="B80" s="34" t="s">
        <v>75</v>
      </c>
      <c r="C80" s="34" t="s">
        <v>1</v>
      </c>
      <c r="D80" s="34" t="s">
        <v>2</v>
      </c>
      <c r="E80" s="34" t="s">
        <v>93</v>
      </c>
      <c r="F80" s="96" t="s">
        <v>3</v>
      </c>
      <c r="G80" s="36" t="s">
        <v>91</v>
      </c>
      <c r="H80" s="36" t="s">
        <v>92</v>
      </c>
      <c r="I80" s="34" t="s">
        <v>3</v>
      </c>
      <c r="J80" s="36" t="s">
        <v>4</v>
      </c>
      <c r="K80" s="39"/>
      <c r="L80" s="2"/>
      <c r="R80" s="48"/>
    </row>
    <row r="81" spans="2:18" ht="13.5" thickBot="1">
      <c r="B81" s="35"/>
      <c r="C81" s="35"/>
      <c r="D81" s="35"/>
      <c r="E81" s="35"/>
      <c r="F81" s="97"/>
      <c r="G81" s="37"/>
      <c r="H81" s="45" t="s">
        <v>98</v>
      </c>
      <c r="I81" s="37"/>
      <c r="J81" s="38"/>
      <c r="K81" s="39"/>
      <c r="L81" s="2"/>
      <c r="R81" s="48"/>
    </row>
    <row r="82" spans="2:18" ht="13.5" thickTop="1">
      <c r="B82" s="32"/>
      <c r="C82" s="28" t="s">
        <v>81</v>
      </c>
      <c r="D82" s="27" t="s">
        <v>45</v>
      </c>
      <c r="E82" s="43" t="s">
        <v>95</v>
      </c>
      <c r="F82" s="76">
        <v>11.152</v>
      </c>
      <c r="G82" s="71">
        <f aca="true" t="shared" si="12" ref="G82:G116">+F82*0.055</f>
        <v>0.61336</v>
      </c>
      <c r="H82" s="71">
        <f aca="true" t="shared" si="13" ref="H82:H108">+F82*0.0467</f>
        <v>0.5207984</v>
      </c>
      <c r="I82" s="71">
        <f aca="true" t="shared" si="14" ref="I82:I108">+F82+G82+H82</f>
        <v>12.2861584</v>
      </c>
      <c r="J82" s="72">
        <f>+I82*1.3834</f>
        <v>16.99667153056</v>
      </c>
      <c r="K82" s="39"/>
      <c r="L82" s="2"/>
      <c r="R82" s="48"/>
    </row>
    <row r="83" spans="2:18" ht="12.75">
      <c r="B83" s="12"/>
      <c r="C83" s="9" t="s">
        <v>122</v>
      </c>
      <c r="D83" s="25" t="s">
        <v>46</v>
      </c>
      <c r="E83" s="44" t="s">
        <v>96</v>
      </c>
      <c r="F83" s="78">
        <v>0.1131</v>
      </c>
      <c r="G83" s="67">
        <f t="shared" si="12"/>
        <v>0.0062205</v>
      </c>
      <c r="H83" s="67">
        <f t="shared" si="13"/>
        <v>0.00528177</v>
      </c>
      <c r="I83" s="67">
        <f t="shared" si="14"/>
        <v>0.12460227000000001</v>
      </c>
      <c r="J83" s="68">
        <f>+I83*1.3834</f>
        <v>0.17237478031800002</v>
      </c>
      <c r="K83" s="39"/>
      <c r="L83" s="2"/>
      <c r="R83" s="48"/>
    </row>
    <row r="84" spans="2:18" ht="12.75">
      <c r="B84" s="21" t="s">
        <v>72</v>
      </c>
      <c r="C84" s="9" t="s">
        <v>47</v>
      </c>
      <c r="D84" s="25" t="s">
        <v>48</v>
      </c>
      <c r="E84" s="44" t="s">
        <v>96</v>
      </c>
      <c r="F84" s="78">
        <v>0.094</v>
      </c>
      <c r="G84" s="67">
        <f t="shared" si="12"/>
        <v>0.00517</v>
      </c>
      <c r="H84" s="67">
        <f t="shared" si="13"/>
        <v>0.0043898</v>
      </c>
      <c r="I84" s="67">
        <f t="shared" si="14"/>
        <v>0.1035598</v>
      </c>
      <c r="J84" s="68">
        <f>+I84*1.3834</f>
        <v>0.14326462731999998</v>
      </c>
      <c r="K84" s="39"/>
      <c r="L84" s="2"/>
      <c r="R84" s="48"/>
    </row>
    <row r="85" spans="2:18" ht="12.75">
      <c r="B85" s="13"/>
      <c r="C85" s="9" t="s">
        <v>50</v>
      </c>
      <c r="D85" s="25" t="s">
        <v>49</v>
      </c>
      <c r="E85" s="44" t="s">
        <v>96</v>
      </c>
      <c r="F85" s="78">
        <v>0.0784</v>
      </c>
      <c r="G85" s="67">
        <f t="shared" si="12"/>
        <v>0.004312</v>
      </c>
      <c r="H85" s="67">
        <f t="shared" si="13"/>
        <v>0.00366128</v>
      </c>
      <c r="I85" s="67">
        <f t="shared" si="14"/>
        <v>0.08637328</v>
      </c>
      <c r="J85" s="68">
        <f>+I85*1.3834</f>
        <v>0.119488795552</v>
      </c>
      <c r="K85" s="39"/>
      <c r="L85" s="2"/>
      <c r="R85" s="48"/>
    </row>
    <row r="86" spans="2:18" ht="12.75">
      <c r="B86" s="31"/>
      <c r="C86" s="30"/>
      <c r="D86" s="26" t="s">
        <v>12</v>
      </c>
      <c r="E86" s="44" t="s">
        <v>96</v>
      </c>
      <c r="F86" s="77">
        <v>0.0567</v>
      </c>
      <c r="G86" s="69">
        <f t="shared" si="12"/>
        <v>0.0031185</v>
      </c>
      <c r="H86" s="69">
        <f t="shared" si="13"/>
        <v>0.00264789</v>
      </c>
      <c r="I86" s="69">
        <f t="shared" si="14"/>
        <v>0.062466390000000004</v>
      </c>
      <c r="J86" s="70">
        <f>+I86*1.3834</f>
        <v>0.086416003926</v>
      </c>
      <c r="K86" s="39"/>
      <c r="L86" s="2"/>
      <c r="R86" s="48"/>
    </row>
    <row r="87" spans="2:18" ht="12.75">
      <c r="B87" s="15"/>
      <c r="C87" s="9" t="s">
        <v>79</v>
      </c>
      <c r="D87" s="27" t="s">
        <v>45</v>
      </c>
      <c r="E87" s="43" t="s">
        <v>95</v>
      </c>
      <c r="F87" s="76">
        <f>7.4774*1.2</f>
        <v>8.97288</v>
      </c>
      <c r="G87" s="71">
        <f t="shared" si="12"/>
        <v>0.4935084</v>
      </c>
      <c r="H87" s="67">
        <f t="shared" si="13"/>
        <v>0.419033496</v>
      </c>
      <c r="I87" s="71">
        <f t="shared" si="14"/>
        <v>9.885421896</v>
      </c>
      <c r="J87" s="72">
        <f>+I87*1.21</f>
        <v>11.961360494160001</v>
      </c>
      <c r="K87" s="39"/>
      <c r="L87" s="2"/>
      <c r="R87" s="48"/>
    </row>
    <row r="88" spans="2:18" ht="12.75">
      <c r="B88" s="12"/>
      <c r="C88" s="9" t="s">
        <v>110</v>
      </c>
      <c r="D88" s="25" t="s">
        <v>46</v>
      </c>
      <c r="E88" s="44" t="s">
        <v>96</v>
      </c>
      <c r="F88" s="78">
        <f>0.1009*1.2</f>
        <v>0.12108</v>
      </c>
      <c r="G88" s="67">
        <f t="shared" si="12"/>
        <v>0.006659399999999999</v>
      </c>
      <c r="H88" s="67">
        <f t="shared" si="13"/>
        <v>0.005654436</v>
      </c>
      <c r="I88" s="67">
        <f t="shared" si="14"/>
        <v>0.13339383600000002</v>
      </c>
      <c r="J88" s="68">
        <f>+I88*1.21</f>
        <v>0.16140654156</v>
      </c>
      <c r="K88" s="39"/>
      <c r="L88" s="2"/>
      <c r="R88" s="48"/>
    </row>
    <row r="89" spans="2:18" ht="12.75">
      <c r="B89" s="12">
        <v>50</v>
      </c>
      <c r="C89" s="9" t="s">
        <v>51</v>
      </c>
      <c r="D89" s="25" t="s">
        <v>48</v>
      </c>
      <c r="E89" s="44" t="s">
        <v>96</v>
      </c>
      <c r="F89" s="78">
        <f>0.0834*1.2</f>
        <v>0.10008</v>
      </c>
      <c r="G89" s="67">
        <f t="shared" si="12"/>
        <v>0.0055044000000000004</v>
      </c>
      <c r="H89" s="67">
        <f t="shared" si="13"/>
        <v>0.004673736</v>
      </c>
      <c r="I89" s="67">
        <f t="shared" si="14"/>
        <v>0.110258136</v>
      </c>
      <c r="J89" s="68">
        <f>+I89*1.21</f>
        <v>0.13341234456</v>
      </c>
      <c r="K89" s="39"/>
      <c r="L89" s="2"/>
      <c r="R89" s="48"/>
    </row>
    <row r="90" spans="2:18" ht="12.75">
      <c r="B90" s="13"/>
      <c r="C90" s="10">
        <v>502105</v>
      </c>
      <c r="D90" s="25" t="s">
        <v>49</v>
      </c>
      <c r="E90" s="44" t="s">
        <v>96</v>
      </c>
      <c r="F90" s="78">
        <f>0.0699*1.2</f>
        <v>0.08388</v>
      </c>
      <c r="G90" s="67">
        <f t="shared" si="12"/>
        <v>0.0046134</v>
      </c>
      <c r="H90" s="67">
        <f t="shared" si="13"/>
        <v>0.0039171959999999995</v>
      </c>
      <c r="I90" s="67">
        <f t="shared" si="14"/>
        <v>0.092410596</v>
      </c>
      <c r="J90" s="68">
        <f>+I90*1.21</f>
        <v>0.11181682116</v>
      </c>
      <c r="K90" s="39"/>
      <c r="L90" s="2"/>
      <c r="R90" s="48"/>
    </row>
    <row r="91" spans="2:18" ht="12.75">
      <c r="B91" s="13"/>
      <c r="C91" s="9"/>
      <c r="D91" s="26" t="s">
        <v>12</v>
      </c>
      <c r="E91" s="44" t="s">
        <v>96</v>
      </c>
      <c r="F91" s="77">
        <f>0.0566*1.2</f>
        <v>0.06792</v>
      </c>
      <c r="G91" s="69">
        <f t="shared" si="12"/>
        <v>0.0037355999999999995</v>
      </c>
      <c r="H91" s="67">
        <f t="shared" si="13"/>
        <v>0.0031718639999999995</v>
      </c>
      <c r="I91" s="69">
        <f t="shared" si="14"/>
        <v>0.074827464</v>
      </c>
      <c r="J91" s="70">
        <f>+I91*1.21</f>
        <v>0.09054123144</v>
      </c>
      <c r="K91" s="39"/>
      <c r="L91" s="2"/>
      <c r="R91" s="48"/>
    </row>
    <row r="92" spans="2:18" ht="12.75">
      <c r="B92" s="32"/>
      <c r="C92" s="28" t="s">
        <v>82</v>
      </c>
      <c r="D92" s="27" t="s">
        <v>45</v>
      </c>
      <c r="E92" s="43" t="s">
        <v>95</v>
      </c>
      <c r="F92" s="76">
        <v>4.4431</v>
      </c>
      <c r="G92" s="71">
        <f t="shared" si="12"/>
        <v>0.24437050000000002</v>
      </c>
      <c r="H92" s="71">
        <f t="shared" si="13"/>
        <v>0.20749277</v>
      </c>
      <c r="I92" s="71">
        <f t="shared" si="14"/>
        <v>4.89496327</v>
      </c>
      <c r="J92" s="72">
        <f aca="true" t="shared" si="15" ref="J92:J101">+I92*1.3834</f>
        <v>6.771692187718</v>
      </c>
      <c r="K92" s="39"/>
      <c r="L92" s="2"/>
      <c r="R92" s="48"/>
    </row>
    <row r="93" spans="2:18" ht="12.75">
      <c r="B93" s="12"/>
      <c r="C93" s="9" t="s">
        <v>42</v>
      </c>
      <c r="D93" s="25" t="s">
        <v>46</v>
      </c>
      <c r="E93" s="44" t="s">
        <v>96</v>
      </c>
      <c r="F93" s="78">
        <v>0.0762</v>
      </c>
      <c r="G93" s="67">
        <f t="shared" si="12"/>
        <v>0.004191</v>
      </c>
      <c r="H93" s="67">
        <f t="shared" si="13"/>
        <v>0.0035585400000000002</v>
      </c>
      <c r="I93" s="67">
        <f t="shared" si="14"/>
        <v>0.08394954</v>
      </c>
      <c r="J93" s="68">
        <f t="shared" si="15"/>
        <v>0.116135793636</v>
      </c>
      <c r="K93" s="39"/>
      <c r="L93" s="2"/>
      <c r="R93" s="48"/>
    </row>
    <row r="94" spans="2:18" ht="12.75">
      <c r="B94" s="12">
        <v>50</v>
      </c>
      <c r="C94" s="9" t="s">
        <v>53</v>
      </c>
      <c r="D94" s="25" t="s">
        <v>48</v>
      </c>
      <c r="E94" s="44" t="s">
        <v>96</v>
      </c>
      <c r="F94" s="78">
        <v>0.0629</v>
      </c>
      <c r="G94" s="67">
        <f t="shared" si="12"/>
        <v>0.0034595</v>
      </c>
      <c r="H94" s="67">
        <f t="shared" si="13"/>
        <v>0.00293743</v>
      </c>
      <c r="I94" s="67">
        <f t="shared" si="14"/>
        <v>0.06929693</v>
      </c>
      <c r="J94" s="68">
        <f t="shared" si="15"/>
        <v>0.09586537296200001</v>
      </c>
      <c r="K94" s="39"/>
      <c r="L94" s="2"/>
      <c r="R94" s="48"/>
    </row>
    <row r="95" spans="2:18" ht="12.75">
      <c r="B95" s="13"/>
      <c r="C95" s="10">
        <v>501304</v>
      </c>
      <c r="D95" s="25" t="s">
        <v>49</v>
      </c>
      <c r="E95" s="44" t="s">
        <v>96</v>
      </c>
      <c r="F95" s="78">
        <v>0.0517</v>
      </c>
      <c r="G95" s="67">
        <f t="shared" si="12"/>
        <v>0.0028435</v>
      </c>
      <c r="H95" s="67">
        <f t="shared" si="13"/>
        <v>0.00241439</v>
      </c>
      <c r="I95" s="67">
        <f t="shared" si="14"/>
        <v>0.056957890000000004</v>
      </c>
      <c r="J95" s="68">
        <f t="shared" si="15"/>
        <v>0.078795545026</v>
      </c>
      <c r="K95" s="39"/>
      <c r="L95" s="2"/>
      <c r="R95" s="48"/>
    </row>
    <row r="96" spans="2:18" ht="12.75">
      <c r="B96" s="31"/>
      <c r="C96" s="33"/>
      <c r="D96" s="26" t="s">
        <v>12</v>
      </c>
      <c r="E96" s="44" t="s">
        <v>96</v>
      </c>
      <c r="F96" s="77">
        <v>0.037</v>
      </c>
      <c r="G96" s="69">
        <f t="shared" si="12"/>
        <v>0.002035</v>
      </c>
      <c r="H96" s="69">
        <f t="shared" si="13"/>
        <v>0.0017278999999999999</v>
      </c>
      <c r="I96" s="69">
        <f t="shared" si="14"/>
        <v>0.0407629</v>
      </c>
      <c r="J96" s="70">
        <f t="shared" si="15"/>
        <v>0.05639139586</v>
      </c>
      <c r="K96" s="39"/>
      <c r="L96" s="2"/>
      <c r="R96" s="48"/>
    </row>
    <row r="97" spans="2:18" ht="12.75">
      <c r="B97" s="15"/>
      <c r="C97" s="9" t="s">
        <v>25</v>
      </c>
      <c r="D97" s="27" t="s">
        <v>45</v>
      </c>
      <c r="E97" s="43" t="s">
        <v>95</v>
      </c>
      <c r="F97" s="76">
        <v>4.0876</v>
      </c>
      <c r="G97" s="71">
        <f t="shared" si="12"/>
        <v>0.22481800000000002</v>
      </c>
      <c r="H97" s="67">
        <f t="shared" si="13"/>
        <v>0.19089092</v>
      </c>
      <c r="I97" s="71">
        <f t="shared" si="14"/>
        <v>4.50330892</v>
      </c>
      <c r="J97" s="72">
        <f t="shared" si="15"/>
        <v>6.229877559928</v>
      </c>
      <c r="K97" s="39"/>
      <c r="L97" s="2"/>
      <c r="R97" s="48"/>
    </row>
    <row r="98" spans="2:18" ht="12.75">
      <c r="B98" s="12"/>
      <c r="C98" s="9" t="s">
        <v>52</v>
      </c>
      <c r="D98" s="25" t="s">
        <v>46</v>
      </c>
      <c r="E98" s="44" t="s">
        <v>96</v>
      </c>
      <c r="F98" s="78">
        <v>0.0698</v>
      </c>
      <c r="G98" s="67">
        <f t="shared" si="12"/>
        <v>0.003839</v>
      </c>
      <c r="H98" s="67">
        <f t="shared" si="13"/>
        <v>0.0032596599999999997</v>
      </c>
      <c r="I98" s="67">
        <f t="shared" si="14"/>
        <v>0.07689866</v>
      </c>
      <c r="J98" s="68">
        <f t="shared" si="15"/>
        <v>0.10638160624399999</v>
      </c>
      <c r="K98" s="39"/>
      <c r="L98" s="2"/>
      <c r="R98" s="48"/>
    </row>
    <row r="99" spans="2:18" ht="12.75">
      <c r="B99" s="12">
        <v>50</v>
      </c>
      <c r="C99" s="9" t="s">
        <v>42</v>
      </c>
      <c r="D99" s="25" t="s">
        <v>48</v>
      </c>
      <c r="E99" s="44" t="s">
        <v>96</v>
      </c>
      <c r="F99" s="78">
        <v>0.0578</v>
      </c>
      <c r="G99" s="67">
        <f t="shared" si="12"/>
        <v>0.003179</v>
      </c>
      <c r="H99" s="67">
        <f t="shared" si="13"/>
        <v>0.0026992599999999998</v>
      </c>
      <c r="I99" s="67">
        <f t="shared" si="14"/>
        <v>0.06367826</v>
      </c>
      <c r="J99" s="68">
        <f t="shared" si="15"/>
        <v>0.088092504884</v>
      </c>
      <c r="K99" s="39"/>
      <c r="L99" s="2"/>
      <c r="R99" s="48"/>
    </row>
    <row r="100" spans="2:18" ht="12.75">
      <c r="B100" s="13"/>
      <c r="C100" s="9" t="s">
        <v>54</v>
      </c>
      <c r="D100" s="25" t="s">
        <v>49</v>
      </c>
      <c r="E100" s="44" t="s">
        <v>96</v>
      </c>
      <c r="F100" s="78">
        <v>0.0473</v>
      </c>
      <c r="G100" s="67">
        <f t="shared" si="12"/>
        <v>0.0026015</v>
      </c>
      <c r="H100" s="67">
        <f t="shared" si="13"/>
        <v>0.00220891</v>
      </c>
      <c r="I100" s="67">
        <f t="shared" si="14"/>
        <v>0.05211041</v>
      </c>
      <c r="J100" s="68">
        <f t="shared" si="15"/>
        <v>0.072089541194</v>
      </c>
      <c r="K100" s="39"/>
      <c r="L100" s="2"/>
      <c r="R100" s="48"/>
    </row>
    <row r="101" spans="2:18" ht="12.75">
      <c r="B101" s="13"/>
      <c r="C101" s="10">
        <v>502304</v>
      </c>
      <c r="D101" s="26" t="s">
        <v>12</v>
      </c>
      <c r="E101" s="44" t="s">
        <v>96</v>
      </c>
      <c r="F101" s="77">
        <v>0.0341</v>
      </c>
      <c r="G101" s="69">
        <f t="shared" si="12"/>
        <v>0.0018755</v>
      </c>
      <c r="H101" s="67">
        <f t="shared" si="13"/>
        <v>0.00159247</v>
      </c>
      <c r="I101" s="69">
        <f t="shared" si="14"/>
        <v>0.03756797</v>
      </c>
      <c r="J101" s="70">
        <f t="shared" si="15"/>
        <v>0.051971529698</v>
      </c>
      <c r="K101" s="39"/>
      <c r="L101" s="2"/>
      <c r="R101" s="48"/>
    </row>
    <row r="102" spans="2:18" ht="12.75">
      <c r="B102" s="32"/>
      <c r="C102" s="28" t="s">
        <v>55</v>
      </c>
      <c r="D102" s="27" t="s">
        <v>45</v>
      </c>
      <c r="E102" s="43" t="s">
        <v>95</v>
      </c>
      <c r="F102" s="76">
        <f>6.0609*1.2</f>
        <v>7.27308</v>
      </c>
      <c r="G102" s="71">
        <f t="shared" si="12"/>
        <v>0.4000194</v>
      </c>
      <c r="H102" s="71">
        <f t="shared" si="13"/>
        <v>0.339652836</v>
      </c>
      <c r="I102" s="71">
        <f t="shared" si="14"/>
        <v>8.012752236</v>
      </c>
      <c r="J102" s="72">
        <f aca="true" t="shared" si="16" ref="J102:J116">+I102*1.276</f>
        <v>10.224271853136</v>
      </c>
      <c r="K102" s="39"/>
      <c r="L102" s="2"/>
      <c r="R102" s="48"/>
    </row>
    <row r="103" spans="2:18" ht="12.75">
      <c r="B103" s="12"/>
      <c r="C103" s="9" t="s">
        <v>56</v>
      </c>
      <c r="D103" s="25" t="s">
        <v>46</v>
      </c>
      <c r="E103" s="44" t="s">
        <v>96</v>
      </c>
      <c r="F103" s="78">
        <f>0.1229*1.2</f>
        <v>0.14748</v>
      </c>
      <c r="G103" s="67">
        <f t="shared" si="12"/>
        <v>0.0081114</v>
      </c>
      <c r="H103" s="67">
        <f t="shared" si="13"/>
        <v>0.006887316</v>
      </c>
      <c r="I103" s="67">
        <f t="shared" si="14"/>
        <v>0.162478716</v>
      </c>
      <c r="J103" s="68">
        <f t="shared" si="16"/>
        <v>0.207322841616</v>
      </c>
      <c r="K103" s="39"/>
      <c r="L103" s="2"/>
      <c r="R103" s="48"/>
    </row>
    <row r="104" spans="2:18" ht="12.75">
      <c r="B104" s="12">
        <v>50</v>
      </c>
      <c r="C104" s="9" t="s">
        <v>53</v>
      </c>
      <c r="D104" s="25" t="s">
        <v>48</v>
      </c>
      <c r="E104" s="44" t="s">
        <v>96</v>
      </c>
      <c r="F104" s="78">
        <f>0.1018*1.2</f>
        <v>0.12215999999999999</v>
      </c>
      <c r="G104" s="67">
        <f t="shared" si="12"/>
        <v>0.0067188</v>
      </c>
      <c r="H104" s="67">
        <f t="shared" si="13"/>
        <v>0.005704872</v>
      </c>
      <c r="I104" s="67">
        <f t="shared" si="14"/>
        <v>0.134583672</v>
      </c>
      <c r="J104" s="68">
        <f t="shared" si="16"/>
        <v>0.171728765472</v>
      </c>
      <c r="K104" s="39"/>
      <c r="L104" s="2"/>
      <c r="R104" s="48"/>
    </row>
    <row r="105" spans="2:18" ht="12.75">
      <c r="B105" s="13"/>
      <c r="C105" s="20">
        <v>501106</v>
      </c>
      <c r="D105" s="25" t="s">
        <v>49</v>
      </c>
      <c r="E105" s="44" t="s">
        <v>96</v>
      </c>
      <c r="F105" s="78">
        <f>0.0852*1.2</f>
        <v>0.10224</v>
      </c>
      <c r="G105" s="67">
        <f t="shared" si="12"/>
        <v>0.0056232</v>
      </c>
      <c r="H105" s="67">
        <f t="shared" si="13"/>
        <v>0.004774608</v>
      </c>
      <c r="I105" s="67">
        <f t="shared" si="14"/>
        <v>0.11263780799999999</v>
      </c>
      <c r="J105" s="68">
        <f t="shared" si="16"/>
        <v>0.14372584300799998</v>
      </c>
      <c r="K105" s="39"/>
      <c r="L105" s="2"/>
      <c r="R105" s="48"/>
    </row>
    <row r="106" spans="2:18" ht="12.75">
      <c r="B106" s="31"/>
      <c r="C106" s="30"/>
      <c r="D106" s="26" t="s">
        <v>12</v>
      </c>
      <c r="E106" s="44" t="s">
        <v>96</v>
      </c>
      <c r="F106" s="77">
        <f>0.0614*1.2</f>
        <v>0.07368</v>
      </c>
      <c r="G106" s="69">
        <f t="shared" si="12"/>
        <v>0.004052399999999999</v>
      </c>
      <c r="H106" s="69">
        <f t="shared" si="13"/>
        <v>0.0034408559999999995</v>
      </c>
      <c r="I106" s="69">
        <f t="shared" si="14"/>
        <v>0.081173256</v>
      </c>
      <c r="J106" s="70">
        <f t="shared" si="16"/>
        <v>0.103577074656</v>
      </c>
      <c r="K106" s="39"/>
      <c r="L106" s="2"/>
      <c r="R106" s="48"/>
    </row>
    <row r="107" spans="2:18" ht="12.75">
      <c r="B107" s="15"/>
      <c r="C107" s="9" t="s">
        <v>57</v>
      </c>
      <c r="D107" s="27" t="s">
        <v>58</v>
      </c>
      <c r="E107" s="43" t="s">
        <v>95</v>
      </c>
      <c r="F107" s="76">
        <f>17.7538*1.2</f>
        <v>21.30456</v>
      </c>
      <c r="G107" s="71">
        <f t="shared" si="12"/>
        <v>1.1717507999999999</v>
      </c>
      <c r="H107" s="67">
        <f t="shared" si="13"/>
        <v>0.9949229519999999</v>
      </c>
      <c r="I107" s="71">
        <f t="shared" si="14"/>
        <v>23.471233752</v>
      </c>
      <c r="J107" s="72">
        <f t="shared" si="16"/>
        <v>29.949294267552002</v>
      </c>
      <c r="K107" s="39"/>
      <c r="L107" s="2"/>
      <c r="R107" s="48"/>
    </row>
    <row r="108" spans="2:18" ht="12.75">
      <c r="B108" s="12"/>
      <c r="C108" s="9" t="s">
        <v>44</v>
      </c>
      <c r="D108" s="25" t="s">
        <v>59</v>
      </c>
      <c r="E108" s="44" t="s">
        <v>96</v>
      </c>
      <c r="F108" s="78">
        <f>17.2432*1.2</f>
        <v>20.691840000000003</v>
      </c>
      <c r="G108" s="67">
        <f t="shared" si="12"/>
        <v>1.1380512000000003</v>
      </c>
      <c r="H108" s="67">
        <f t="shared" si="13"/>
        <v>0.9663089280000001</v>
      </c>
      <c r="I108" s="67">
        <f t="shared" si="14"/>
        <v>22.796200128000002</v>
      </c>
      <c r="J108" s="68">
        <f t="shared" si="16"/>
        <v>29.087951363328003</v>
      </c>
      <c r="K108" s="39"/>
      <c r="L108" s="2"/>
      <c r="R108" s="48"/>
    </row>
    <row r="109" spans="2:18" ht="12.75">
      <c r="B109" s="12" t="s">
        <v>73</v>
      </c>
      <c r="C109" s="9" t="s">
        <v>134</v>
      </c>
      <c r="D109" s="25" t="s">
        <v>61</v>
      </c>
      <c r="E109" s="44" t="s">
        <v>96</v>
      </c>
      <c r="F109" s="78">
        <f>16.8177*1.2</f>
        <v>20.18124</v>
      </c>
      <c r="G109" s="67">
        <f t="shared" si="12"/>
        <v>1.1099682</v>
      </c>
      <c r="H109" s="67">
        <f aca="true" t="shared" si="17" ref="H109:H116">+F109*0.0467</f>
        <v>0.9424639079999999</v>
      </c>
      <c r="I109" s="67">
        <f aca="true" t="shared" si="18" ref="I109:I121">+F109+G109+H109</f>
        <v>22.233672108</v>
      </c>
      <c r="J109" s="68">
        <f t="shared" si="16"/>
        <v>28.370165609808</v>
      </c>
      <c r="K109" s="39"/>
      <c r="L109" s="2"/>
      <c r="R109" s="48"/>
    </row>
    <row r="110" spans="2:18" ht="12.75">
      <c r="B110" s="13"/>
      <c r="C110" s="9" t="s">
        <v>60</v>
      </c>
      <c r="D110" s="25" t="s">
        <v>63</v>
      </c>
      <c r="E110" s="44" t="s">
        <v>96</v>
      </c>
      <c r="F110" s="78">
        <f>0.0735*1.2</f>
        <v>0.08819999999999999</v>
      </c>
      <c r="G110" s="67">
        <f t="shared" si="12"/>
        <v>0.004850999999999999</v>
      </c>
      <c r="H110" s="67">
        <f t="shared" si="17"/>
        <v>0.004118939999999999</v>
      </c>
      <c r="I110" s="67">
        <f t="shared" si="18"/>
        <v>0.09716993999999998</v>
      </c>
      <c r="J110" s="68">
        <f t="shared" si="16"/>
        <v>0.12398884343999998</v>
      </c>
      <c r="K110" s="39"/>
      <c r="L110" s="2"/>
      <c r="R110" s="48"/>
    </row>
    <row r="111" spans="2:18" ht="12.75">
      <c r="B111" s="13"/>
      <c r="C111" s="9" t="s">
        <v>62</v>
      </c>
      <c r="D111" s="25" t="s">
        <v>64</v>
      </c>
      <c r="E111" s="44" t="s">
        <v>96</v>
      </c>
      <c r="F111" s="78">
        <f>0.0707*1.2</f>
        <v>0.08484</v>
      </c>
      <c r="G111" s="67">
        <f t="shared" si="12"/>
        <v>0.0046662</v>
      </c>
      <c r="H111" s="67">
        <f t="shared" si="17"/>
        <v>0.003962027999999999</v>
      </c>
      <c r="I111" s="67">
        <f t="shared" si="18"/>
        <v>0.09346822799999999</v>
      </c>
      <c r="J111" s="68">
        <f t="shared" si="16"/>
        <v>0.11926545892799999</v>
      </c>
      <c r="K111" s="39"/>
      <c r="L111" s="2"/>
      <c r="R111" s="48"/>
    </row>
    <row r="112" spans="2:18" ht="12.75">
      <c r="B112" s="32"/>
      <c r="C112" s="27" t="s">
        <v>57</v>
      </c>
      <c r="D112" s="27" t="s">
        <v>58</v>
      </c>
      <c r="E112" s="43" t="s">
        <v>95</v>
      </c>
      <c r="F112" s="76">
        <v>17.7538</v>
      </c>
      <c r="G112" s="71">
        <f t="shared" si="12"/>
        <v>0.9764589999999999</v>
      </c>
      <c r="H112" s="71">
        <f t="shared" si="17"/>
        <v>0.8291024599999999</v>
      </c>
      <c r="I112" s="71">
        <f t="shared" si="18"/>
        <v>19.559361459999998</v>
      </c>
      <c r="J112" s="72">
        <f t="shared" si="16"/>
        <v>24.957745222959996</v>
      </c>
      <c r="K112" s="39"/>
      <c r="L112" s="2"/>
      <c r="R112" s="48"/>
    </row>
    <row r="113" spans="2:18" ht="12.75">
      <c r="B113" s="12"/>
      <c r="C113" s="9" t="s">
        <v>44</v>
      </c>
      <c r="D113" s="25" t="s">
        <v>59</v>
      </c>
      <c r="E113" s="44" t="s">
        <v>96</v>
      </c>
      <c r="F113" s="78">
        <v>17.2432</v>
      </c>
      <c r="G113" s="67">
        <f t="shared" si="12"/>
        <v>0.9483760000000001</v>
      </c>
      <c r="H113" s="67">
        <f t="shared" si="17"/>
        <v>0.8052574400000001</v>
      </c>
      <c r="I113" s="67">
        <f t="shared" si="18"/>
        <v>18.996833440000003</v>
      </c>
      <c r="J113" s="68">
        <f t="shared" si="16"/>
        <v>24.239959469440006</v>
      </c>
      <c r="K113" s="39"/>
      <c r="L113" s="2"/>
      <c r="R113" s="48"/>
    </row>
    <row r="114" spans="2:18" ht="12.75">
      <c r="B114" s="12" t="s">
        <v>73</v>
      </c>
      <c r="C114" s="9" t="s">
        <v>135</v>
      </c>
      <c r="D114" s="25" t="s">
        <v>61</v>
      </c>
      <c r="E114" s="44" t="s">
        <v>96</v>
      </c>
      <c r="F114" s="78">
        <v>16.8177</v>
      </c>
      <c r="G114" s="67">
        <f t="shared" si="12"/>
        <v>0.9249734999999999</v>
      </c>
      <c r="H114" s="67">
        <f t="shared" si="17"/>
        <v>0.7853865899999999</v>
      </c>
      <c r="I114" s="67">
        <f>+F114+G114+H114</f>
        <v>18.528060089999997</v>
      </c>
      <c r="J114" s="68">
        <f t="shared" si="16"/>
        <v>23.641804674839996</v>
      </c>
      <c r="R114" s="48"/>
    </row>
    <row r="115" spans="2:18" ht="12.75">
      <c r="B115" s="13"/>
      <c r="C115" s="9" t="s">
        <v>60</v>
      </c>
      <c r="D115" s="25" t="s">
        <v>63</v>
      </c>
      <c r="E115" s="44" t="s">
        <v>96</v>
      </c>
      <c r="F115" s="78">
        <v>0.0735</v>
      </c>
      <c r="G115" s="67">
        <f t="shared" si="12"/>
        <v>0.0040425</v>
      </c>
      <c r="H115" s="67">
        <f t="shared" si="17"/>
        <v>0.0034324499999999997</v>
      </c>
      <c r="I115" s="67">
        <f>+F115+G115+H115</f>
        <v>0.08097495</v>
      </c>
      <c r="J115" s="68">
        <f t="shared" si="16"/>
        <v>0.10332403620000001</v>
      </c>
      <c r="R115" s="48"/>
    </row>
    <row r="116" spans="2:18" ht="12.75">
      <c r="B116" s="13"/>
      <c r="C116" s="9" t="s">
        <v>62</v>
      </c>
      <c r="D116" s="25" t="s">
        <v>64</v>
      </c>
      <c r="E116" s="44" t="s">
        <v>96</v>
      </c>
      <c r="F116" s="78">
        <v>0.0707</v>
      </c>
      <c r="G116" s="67">
        <f t="shared" si="12"/>
        <v>0.0038885</v>
      </c>
      <c r="H116" s="67">
        <f t="shared" si="17"/>
        <v>0.00330169</v>
      </c>
      <c r="I116" s="67">
        <f>+F116+G116+H116</f>
        <v>0.07789019</v>
      </c>
      <c r="J116" s="68">
        <f t="shared" si="16"/>
        <v>0.09938788244</v>
      </c>
      <c r="R116" s="48"/>
    </row>
    <row r="117" spans="2:18" ht="12.75">
      <c r="B117" s="32"/>
      <c r="C117" s="28" t="s">
        <v>111</v>
      </c>
      <c r="D117" s="27" t="s">
        <v>112</v>
      </c>
      <c r="E117" s="43" t="s">
        <v>95</v>
      </c>
      <c r="F117" s="76">
        <f>7.84*1.2</f>
        <v>9.408</v>
      </c>
      <c r="G117" s="71">
        <v>0</v>
      </c>
      <c r="H117" s="71">
        <v>0</v>
      </c>
      <c r="I117" s="71">
        <f t="shared" si="18"/>
        <v>9.408</v>
      </c>
      <c r="J117" s="72">
        <f>+I117*1.21</f>
        <v>11.383679999999998</v>
      </c>
      <c r="R117" s="48"/>
    </row>
    <row r="118" spans="2:18" ht="12.75">
      <c r="B118" s="12" t="s">
        <v>136</v>
      </c>
      <c r="C118" s="9" t="s">
        <v>117</v>
      </c>
      <c r="D118" s="25" t="s">
        <v>113</v>
      </c>
      <c r="E118" s="44" t="s">
        <v>95</v>
      </c>
      <c r="F118" s="78">
        <f>4.68*1.2</f>
        <v>5.616</v>
      </c>
      <c r="G118" s="67">
        <v>0</v>
      </c>
      <c r="H118" s="67">
        <v>0</v>
      </c>
      <c r="I118" s="67">
        <f t="shared" si="18"/>
        <v>5.616</v>
      </c>
      <c r="J118" s="68">
        <f>+I118*1.21</f>
        <v>6.79536</v>
      </c>
      <c r="R118" s="48"/>
    </row>
    <row r="119" spans="2:18" ht="12.75">
      <c r="B119" s="12" t="s">
        <v>137</v>
      </c>
      <c r="C119" s="9" t="s">
        <v>51</v>
      </c>
      <c r="D119" s="25" t="s">
        <v>114</v>
      </c>
      <c r="E119" s="44" t="s">
        <v>96</v>
      </c>
      <c r="F119" s="78">
        <f>0.1003*1.2</f>
        <v>0.12036</v>
      </c>
      <c r="G119" s="67">
        <v>0</v>
      </c>
      <c r="H119" s="67">
        <v>0</v>
      </c>
      <c r="I119" s="67">
        <f t="shared" si="18"/>
        <v>0.12036</v>
      </c>
      <c r="J119" s="68">
        <f>+I119*1.21</f>
        <v>0.14563559999999998</v>
      </c>
      <c r="R119" s="48"/>
    </row>
    <row r="120" spans="2:18" ht="12.75">
      <c r="B120" s="13"/>
      <c r="C120" s="10"/>
      <c r="D120" s="25" t="s">
        <v>116</v>
      </c>
      <c r="E120" s="44" t="s">
        <v>96</v>
      </c>
      <c r="F120" s="78">
        <f>0.0889*1.2</f>
        <v>0.10668000000000001</v>
      </c>
      <c r="G120" s="67">
        <v>0</v>
      </c>
      <c r="H120" s="67">
        <v>0</v>
      </c>
      <c r="I120" s="67">
        <f t="shared" si="18"/>
        <v>0.10668000000000001</v>
      </c>
      <c r="J120" s="68">
        <f>+I120*1.21</f>
        <v>0.1290828</v>
      </c>
      <c r="R120" s="48"/>
    </row>
    <row r="121" spans="2:18" ht="13.5" thickBot="1">
      <c r="B121" s="41"/>
      <c r="C121" s="19"/>
      <c r="D121" s="24" t="s">
        <v>115</v>
      </c>
      <c r="E121" s="46" t="s">
        <v>96</v>
      </c>
      <c r="F121" s="93">
        <f>0.0855*1.2</f>
        <v>0.10260000000000001</v>
      </c>
      <c r="G121" s="73">
        <v>0</v>
      </c>
      <c r="H121" s="73">
        <v>0</v>
      </c>
      <c r="I121" s="73">
        <f t="shared" si="18"/>
        <v>0.10260000000000001</v>
      </c>
      <c r="J121" s="74">
        <f>+I121*1.21</f>
        <v>0.124146</v>
      </c>
      <c r="R121" s="48"/>
    </row>
    <row r="122" ht="13.5" thickTop="1">
      <c r="R122" s="48"/>
    </row>
    <row r="123" spans="7:18" ht="12.75">
      <c r="G123" s="2" t="s">
        <v>142</v>
      </c>
      <c r="H123" s="2"/>
      <c r="R123" s="48"/>
    </row>
    <row r="124" spans="3:18" ht="13.5" thickBot="1">
      <c r="C124" s="62"/>
      <c r="D124" s="3"/>
      <c r="G124" s="2" t="s">
        <v>139</v>
      </c>
      <c r="H124" s="2"/>
      <c r="R124" s="48"/>
    </row>
    <row r="125" spans="3:18" ht="14.25" thickBot="1" thickTop="1">
      <c r="C125" s="4"/>
      <c r="D125" s="58" t="s">
        <v>8</v>
      </c>
      <c r="G125" s="2" t="s">
        <v>140</v>
      </c>
      <c r="H125" s="2"/>
      <c r="R125" s="48"/>
    </row>
    <row r="126" spans="3:18" ht="13.5" thickTop="1">
      <c r="C126" s="5"/>
      <c r="D126" s="59"/>
      <c r="G126" s="2" t="s">
        <v>141</v>
      </c>
      <c r="R126" s="48"/>
    </row>
    <row r="127" spans="3:8" ht="12.75">
      <c r="C127" s="6" t="s">
        <v>76</v>
      </c>
      <c r="D127" s="60"/>
      <c r="G127" s="2"/>
      <c r="H127" s="2"/>
    </row>
    <row r="128" spans="3:8" ht="12.75">
      <c r="C128" s="6" t="s">
        <v>13</v>
      </c>
      <c r="D128" s="60"/>
      <c r="G128" s="2" t="s">
        <v>65</v>
      </c>
      <c r="H128" s="2"/>
    </row>
    <row r="129" spans="3:8" ht="12.75">
      <c r="C129" s="6" t="s">
        <v>129</v>
      </c>
      <c r="D129" s="64" t="s">
        <v>128</v>
      </c>
      <c r="G129" s="2" t="s">
        <v>66</v>
      </c>
      <c r="H129" s="2"/>
    </row>
    <row r="130" spans="3:8" ht="12.75">
      <c r="C130" s="6"/>
      <c r="D130" s="60" t="s">
        <v>80</v>
      </c>
      <c r="G130" s="2" t="s">
        <v>67</v>
      </c>
      <c r="H130" s="2"/>
    </row>
    <row r="131" spans="3:8" ht="12.75">
      <c r="C131" s="6"/>
      <c r="D131" s="60" t="s">
        <v>70</v>
      </c>
      <c r="G131" s="2" t="s">
        <v>68</v>
      </c>
      <c r="H131" s="2"/>
    </row>
    <row r="132" spans="3:4" ht="12.75">
      <c r="C132" s="6"/>
      <c r="D132" s="60" t="s">
        <v>105</v>
      </c>
    </row>
    <row r="133" spans="3:9" ht="12.75">
      <c r="C133" s="6"/>
      <c r="D133" s="60" t="s">
        <v>104</v>
      </c>
      <c r="G133" s="82" t="s">
        <v>143</v>
      </c>
      <c r="H133" s="82"/>
      <c r="I133" s="81"/>
    </row>
    <row r="134" spans="3:9" ht="12.75">
      <c r="C134" s="8"/>
      <c r="D134" s="60" t="s">
        <v>99</v>
      </c>
      <c r="G134" s="82" t="s">
        <v>144</v>
      </c>
      <c r="H134" s="82"/>
      <c r="I134" s="81"/>
    </row>
    <row r="135" spans="3:9" ht="12.75">
      <c r="C135" s="6"/>
      <c r="D135" s="60" t="s">
        <v>138</v>
      </c>
      <c r="G135" s="82" t="s">
        <v>145</v>
      </c>
      <c r="H135" s="82"/>
      <c r="I135" s="81"/>
    </row>
    <row r="136" spans="3:4" ht="13.5" thickBot="1">
      <c r="C136" s="7" t="s">
        <v>130</v>
      </c>
      <c r="D136" s="61"/>
    </row>
    <row r="137" spans="2:7" ht="13.5" thickTop="1">
      <c r="B137" s="98"/>
      <c r="G137" s="82" t="s">
        <v>146</v>
      </c>
    </row>
    <row r="138" ht="12.75">
      <c r="G138" s="82"/>
    </row>
    <row r="144" spans="2:7" ht="12.75">
      <c r="B144" s="1"/>
      <c r="E144" s="2"/>
      <c r="F144" s="2"/>
      <c r="G144" s="2"/>
    </row>
    <row r="145" spans="2:6" ht="12.75">
      <c r="B145" s="81"/>
      <c r="C145" s="81"/>
      <c r="D145" s="81"/>
      <c r="E145" s="81"/>
      <c r="F145" s="81"/>
    </row>
    <row r="146" spans="2:6" ht="12.75">
      <c r="B146" s="81"/>
      <c r="C146" s="81"/>
      <c r="D146" s="81"/>
      <c r="E146" s="81"/>
      <c r="F146" s="81"/>
    </row>
  </sheetData>
  <printOptions horizontalCentered="1" verticalCentered="1"/>
  <pageMargins left="0.1968503937007874" right="0" top="0" bottom="0" header="0" footer="0"/>
  <pageSetup fitToHeight="1" fitToWidth="1" horizontalDpi="300" verticalDpi="300" orientation="portrait" paperSize="9" scale="72" r:id="rId4"/>
  <rowBreaks count="1" manualBreakCount="1">
    <brk id="73" min="1" max="9" man="1"/>
  </rowBreaks>
  <legacyDrawing r:id="rId3"/>
  <oleObjects>
    <oleObject progId="Paint.Picture" shapeId="978634" r:id="rId1"/>
    <oleObject progId="Paint.Picture" shapeId="4817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SECHEEP</dc:creator>
  <cp:keywords/>
  <dc:description/>
  <cp:lastModifiedBy>*</cp:lastModifiedBy>
  <cp:lastPrinted>2008-11-19T11:50:16Z</cp:lastPrinted>
  <dcterms:created xsi:type="dcterms:W3CDTF">2000-12-05T11:15:52Z</dcterms:created>
  <dcterms:modified xsi:type="dcterms:W3CDTF">2009-01-22T14:26:19Z</dcterms:modified>
  <cp:category/>
  <cp:version/>
  <cp:contentType/>
  <cp:contentStatus/>
</cp:coreProperties>
</file>